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2" documentId="8_{6FB4C8E6-8D76-46B1-82EF-B15C09E27406}" xr6:coauthVersionLast="47" xr6:coauthVersionMax="47" xr10:uidLastSave="{64FBF409-06B9-4EAF-927A-F45BB5BEFA55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6" r:id="rId53"/>
    <sheet name="324" sheetId="75" r:id="rId54"/>
    <sheet name="333" sheetId="34" r:id="rId55"/>
    <sheet name="307" sheetId="64" r:id="rId56"/>
    <sheet name="331" sheetId="28" r:id="rId57"/>
    <sheet name="315" sheetId="69" r:id="rId58"/>
    <sheet name="326" sheetId="77" r:id="rId59"/>
    <sheet name="332" sheetId="31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8">'300'!$D$13:$D$77</definedName>
    <definedName name="OSRRefD13x_0" localSheetId="49">'300 &amp; 317'!$D$13:$D$91</definedName>
    <definedName name="OSRRefD13x_0" localSheetId="55">'307'!$D$13:$D$25</definedName>
    <definedName name="OSRRefD13x_0" localSheetId="51">'308'!$D$13:$D$36</definedName>
    <definedName name="OSRRefD13x_0" localSheetId="63">'310'!$D$13:$D$21</definedName>
    <definedName name="OSRRefD13x_0" localSheetId="71">'310 &amp; 491'!$D$13:$D$25</definedName>
    <definedName name="OSRRefD13x_0" localSheetId="52">'311'!$D$13:$D$36</definedName>
    <definedName name="OSRRefD13x_0" localSheetId="65">'313'!$D$13:$D$16</definedName>
    <definedName name="OSRRefD13x_0" localSheetId="57">'315'!$D$13:$D$54</definedName>
    <definedName name="OSRRefD13x_0" localSheetId="60">'316'!$D$13:$D$24</definedName>
    <definedName name="OSRRefD13x_0" localSheetId="62">'317'!$D$13:$D$33</definedName>
    <definedName name="OSRRefD13x_0" localSheetId="66">'321'!$D$13:$D$14</definedName>
    <definedName name="OSRRefD13x_0" localSheetId="53">'324'!$D$13:$D$16</definedName>
    <definedName name="OSRRefD13x_0" localSheetId="68">'325'!$D$13:$D$14</definedName>
    <definedName name="OSRRefD13x_0" localSheetId="58">'326'!$D$13:$D$36</definedName>
    <definedName name="OSRRefD13x_0" localSheetId="69">'327'!$D$13:$D$14</definedName>
    <definedName name="OSRRefD13x_0" localSheetId="56">'331'!$D$13:$D$54</definedName>
    <definedName name="OSRRefD13x_0" localSheetId="59">'332'!$D$13:$D$24</definedName>
    <definedName name="OSRRefD13x_0" localSheetId="54">'333'!$D$13:$D$56</definedName>
    <definedName name="OSRRefD13x_0" localSheetId="73">'405'!$D$13:$D$14</definedName>
    <definedName name="OSRRefD13x_0" localSheetId="78">'414'!$D$13</definedName>
    <definedName name="OSRRefD13x_0" localSheetId="79">'415'!$D$13:$D$14</definedName>
    <definedName name="OSRRefD13x_0" localSheetId="81">'420'!$D$13</definedName>
    <definedName name="OSRRefD13x_0" localSheetId="84">'425'!$D$13</definedName>
    <definedName name="OSRRefD13x_0" localSheetId="88">'433'!$D$13:$D$15</definedName>
    <definedName name="OSRRefD13x_0" localSheetId="90">'444'!$D$13:$D$15</definedName>
    <definedName name="OSRRefD13x_0" localSheetId="91">'450'!$D$13:$D$15</definedName>
    <definedName name="OSRRefD13x_0" localSheetId="72">'491'!$D$13:$D$17</definedName>
    <definedName name="OSRRefD13x_0" localSheetId="86">'492'!$D$13:$D$15</definedName>
    <definedName name="OSRRefD13x_0" localSheetId="93">'501'!$D$13</definedName>
    <definedName name="OSRRefD13x_0" localSheetId="47">'Div 3'!$D$13:$D$80</definedName>
    <definedName name="OSRRefD13x_0" localSheetId="70">'Div 4'!$D$13:$D$18</definedName>
    <definedName name="OSRRefD13x_0" localSheetId="92">'Div 5'!$D$13</definedName>
    <definedName name="OSRRefD13x_0" localSheetId="61">'Div 6'!$D$13:$D$33</definedName>
    <definedName name="OSRRefD13x_0" localSheetId="2">Summary!$D$13:$D$98</definedName>
    <definedName name="OSRRefD16x_0" localSheetId="48">'300'!$D$80:$D$119</definedName>
    <definedName name="OSRRefD16x_0" localSheetId="49">'300 &amp; 317'!$D$94:$D$142</definedName>
    <definedName name="OSRRefD16x_0" localSheetId="50">'301'!$D$15</definedName>
    <definedName name="OSRRefD16x_0" localSheetId="55">'307'!$D$28:$D$37</definedName>
    <definedName name="OSRRefD16x_0" localSheetId="51">'308'!$D$39:$D$55</definedName>
    <definedName name="OSRRefD16x_0" localSheetId="64">'309'!$D$15</definedName>
    <definedName name="OSRRefD16x_0" localSheetId="63">'310'!$D$24:$D$25</definedName>
    <definedName name="OSRRefD16x_0" localSheetId="71">'310 &amp; 491'!$D$28:$D$29</definedName>
    <definedName name="OSRRefD16x_0" localSheetId="52">'311'!$D$39:$D$55</definedName>
    <definedName name="OSRRefD16x_0" localSheetId="65">'313'!$D$19</definedName>
    <definedName name="OSRRefD16x_0" localSheetId="57">'315'!$D$57:$D$81</definedName>
    <definedName name="OSRRefD16x_0" localSheetId="60">'316'!$D$27</definedName>
    <definedName name="OSRRefD16x_0" localSheetId="62">'317'!$D$36:$D$48</definedName>
    <definedName name="OSRRefD16x_0" localSheetId="66">'321'!$D$17:$D$18</definedName>
    <definedName name="OSRRefD16x_0" localSheetId="67">'322'!$D$15</definedName>
    <definedName name="OSRRefD16x_0" localSheetId="53">'324'!$D$19:$D$21</definedName>
    <definedName name="OSRRefD16x_0" localSheetId="68">'325'!$D$17:$D$18</definedName>
    <definedName name="OSRRefD16x_0" localSheetId="58">'326'!$D$39:$D$45</definedName>
    <definedName name="OSRRefD16x_0" localSheetId="69">'327'!$D$17:$D$18</definedName>
    <definedName name="OSRRefD16x_0" localSheetId="56">'331'!$D$57:$D$81</definedName>
    <definedName name="OSRRefD16x_0" localSheetId="59">'332'!$D$27:$D$29</definedName>
    <definedName name="OSRRefD16x_0" localSheetId="54">'333'!$D$59:$D$83</definedName>
    <definedName name="OSRRefD16x_0" localSheetId="73">'405'!$D$17:$D$18</definedName>
    <definedName name="OSRRefD16x_0" localSheetId="79">'415'!$D$17:$D$18</definedName>
    <definedName name="OSRRefD16x_0" localSheetId="80">'418'!$D$15</definedName>
    <definedName name="OSRRefD16x_0" localSheetId="84">'425'!$D$16</definedName>
    <definedName name="OSRRefD16x_0" localSheetId="88">'433'!$D$18:$D$19</definedName>
    <definedName name="OSRRefD16x_0" localSheetId="90">'444'!$D$18:$D$19</definedName>
    <definedName name="OSRRefD16x_0" localSheetId="91">'450'!$D$18:$D$19</definedName>
    <definedName name="OSRRefD16x_0" localSheetId="72">'491'!$D$20:$D$21</definedName>
    <definedName name="OSRRefD16x_0" localSheetId="86">'492'!$D$18:$D$19</definedName>
    <definedName name="OSRRefD16x_0" localSheetId="47">'Div 3'!$D$83:$D$124</definedName>
    <definedName name="OSRRefD16x_0" localSheetId="70">'Div 4'!$D$21:$D$22</definedName>
    <definedName name="OSRRefD16x_0" localSheetId="61">'Div 6'!$D$36:$D$48</definedName>
    <definedName name="OSRRefD16x_0" localSheetId="2">Summary!$D$101:$D$151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'300'!$D$125:$D$134</definedName>
    <definedName name="OSRRefD22_0x_0" localSheetId="49">'300 &amp; 317'!$D$148:$D$157</definedName>
    <definedName name="OSRRefD22_0x_0" localSheetId="50">'301'!$D$21:$D$30</definedName>
    <definedName name="OSRRefD22_0x_0" localSheetId="55">'307'!$D$43:$D$45</definedName>
    <definedName name="OSRRefD22_0x_0" localSheetId="51">'308'!$D$61:$D$69</definedName>
    <definedName name="OSRRefD22_0x_0" localSheetId="64">'309'!$D$21</definedName>
    <definedName name="OSRRefD22_0x_0" localSheetId="63">'310'!$D$31:$D$39</definedName>
    <definedName name="OSRRefD22_0x_0" localSheetId="71">'310 &amp; 491'!$D$35:$D$43</definedName>
    <definedName name="OSRRefD22_0x_0" localSheetId="52">'311'!$D$61:$D$69</definedName>
    <definedName name="OSRRefD22_0x_0" localSheetId="65">'313'!$D$25:$D$32</definedName>
    <definedName name="OSRRefD22_0x_0" localSheetId="57">'315'!$D$87:$D$94</definedName>
    <definedName name="OSRRefD22_0x_0" localSheetId="60">'316'!$D$33:$D$40</definedName>
    <definedName name="OSRRefD22_0x_0" localSheetId="62">'317'!$D$54:$D$62</definedName>
    <definedName name="OSRRefD22_0x_0" localSheetId="66">'321'!$D$24:$D$32</definedName>
    <definedName name="OSRRefD22_0x_0" localSheetId="67">'322'!$D$21:$D$25</definedName>
    <definedName name="OSRRefD22_0x_0" localSheetId="68">'325'!$D$24:$D$31</definedName>
    <definedName name="OSRRefD22_0x_0" localSheetId="58">'326'!$D$51:$D$58</definedName>
    <definedName name="OSRRefD22_0x_0" localSheetId="69">'327'!$D$24</definedName>
    <definedName name="OSRRefD22_0x_0" localSheetId="56">'331'!$D$87:$D$94</definedName>
    <definedName name="OSRRefD22_0x_0" localSheetId="59">'332'!$D$35:$D$42</definedName>
    <definedName name="OSRRefD22_0x_0" localSheetId="54">'333'!$D$89:$D$96</definedName>
    <definedName name="OSRRefD22_0x_0" localSheetId="73">'405'!$D$24:$D$31</definedName>
    <definedName name="OSRRefD22_0x_0" localSheetId="74">'406'!$D$20</definedName>
    <definedName name="OSRRefD22_0x_0" localSheetId="75">'411'!$D$20:$D$27</definedName>
    <definedName name="OSRRefD22_0x_0" localSheetId="76">'412'!$D$20</definedName>
    <definedName name="OSRRefD22_0x_0" localSheetId="77">'413'!$D$20:$D$24</definedName>
    <definedName name="OSRRefD22_0x_0" localSheetId="78">'414'!$D$21</definedName>
    <definedName name="OSRRefD22_0x_0" localSheetId="79">'415'!$D$24:$D$31</definedName>
    <definedName name="OSRRefD22_0x_0" localSheetId="80">'418'!$D$21:$D$28</definedName>
    <definedName name="OSRRefD22_0x_0" localSheetId="81">'420'!$D$21</definedName>
    <definedName name="OSRRefD22_0x_0" localSheetId="82">'423'!$D$20:$D$21</definedName>
    <definedName name="OSRRefD22_0x_0" localSheetId="83">'424'!$D$20</definedName>
    <definedName name="OSRRefD22_0x_0" localSheetId="84">'425'!$D$22:$D$26</definedName>
    <definedName name="OSRRefD22_0x_0" localSheetId="87">'430'!$D$20:$D$27</definedName>
    <definedName name="OSRRefD22_0x_0" localSheetId="88">'433'!$D$25:$D$33</definedName>
    <definedName name="OSRRefD22_0x_0" localSheetId="89">'435'!$D$20</definedName>
    <definedName name="OSRRefD22_0x_0" localSheetId="90">'444'!$D$25:$D$33</definedName>
    <definedName name="OSRRefD22_0x_0" localSheetId="91">'450'!$D$25:$D$33</definedName>
    <definedName name="OSRRefD22_0x_0" localSheetId="72">'491'!$D$27:$D$34</definedName>
    <definedName name="OSRRefD22_0x_0" localSheetId="86">'492'!$D$25:$D$33</definedName>
    <definedName name="OSRRefD22_0x_0" localSheetId="93">'501'!$D$21:$D$29</definedName>
    <definedName name="OSRRefD22_0x_0" localSheetId="39">'Div 2'!$D$20:$D$30</definedName>
    <definedName name="OSRRefD22_0x_0" localSheetId="47">'Div 3'!$D$130:$D$139</definedName>
    <definedName name="OSRRefD22_0x_0" localSheetId="70">'Div 4'!$D$28:$D$36</definedName>
    <definedName name="OSRRefD22_0x_0" localSheetId="92">'Div 5'!$D$21:$D$29</definedName>
    <definedName name="OSRRefD22_0x_0" localSheetId="61">'Div 6'!$D$54:$D$62</definedName>
    <definedName name="OSRRefD22_0x_0" localSheetId="2">Summary!$D$157:$D$166</definedName>
    <definedName name="OSRRefD22_10x_0" localSheetId="41">'201'!$D$51:$D$52</definedName>
    <definedName name="OSRRefD22_10x_0" localSheetId="42">'202'!$D$53</definedName>
    <definedName name="OSRRefD22_10x_0" localSheetId="43">'203'!$D$55:$D$58</definedName>
    <definedName name="OSRRefD22_10x_0" localSheetId="48">'300'!$D$163:$D$164</definedName>
    <definedName name="OSRRefD22_10x_0" localSheetId="49">'300 &amp; 317'!$D$186:$D$187</definedName>
    <definedName name="OSRRefD22_10x_0" localSheetId="50">'301'!$D$59</definedName>
    <definedName name="OSRRefD22_10x_0" localSheetId="55">'307'!$D$71:$D$74</definedName>
    <definedName name="OSRRefD22_10x_0" localSheetId="51">'308'!$D$99:$D$100</definedName>
    <definedName name="OSRRefD22_10x_0" localSheetId="63">'310'!$D$63</definedName>
    <definedName name="OSRRefD22_10x_0" localSheetId="71">'310 &amp; 491'!$D$69</definedName>
    <definedName name="OSRRefD22_10x_0" localSheetId="52">'311'!$D$99:$D$100</definedName>
    <definedName name="OSRRefD22_10x_0" localSheetId="57">'315'!$D$122:$D$123</definedName>
    <definedName name="OSRRefD22_10x_0" localSheetId="60">'316'!$D$65:$D$69</definedName>
    <definedName name="OSRRefD22_10x_0" localSheetId="62">'317'!$D$89</definedName>
    <definedName name="OSRRefD22_10x_0" localSheetId="66">'321'!$D$61</definedName>
    <definedName name="OSRRefD22_10x_0" localSheetId="68">'325'!$D$54:$D$55</definedName>
    <definedName name="OSRRefD22_10x_0" localSheetId="58">'326'!$D$82</definedName>
    <definedName name="OSRRefD22_10x_0" localSheetId="56">'331'!$D$120</definedName>
    <definedName name="OSRRefD22_10x_0" localSheetId="59">'332'!$D$67:$D$71</definedName>
    <definedName name="OSRRefD22_10x_0" localSheetId="54">'333'!$D$122</definedName>
    <definedName name="OSRRefD22_10x_0" localSheetId="73">'405'!$D$55:$D$56</definedName>
    <definedName name="OSRRefD22_10x_0" localSheetId="75">'411'!$D$54:$D$56</definedName>
    <definedName name="OSRRefD22_10x_0" localSheetId="79">'415'!$D$55</definedName>
    <definedName name="OSRRefD22_10x_0" localSheetId="80">'418'!$D$53</definedName>
    <definedName name="OSRRefD22_10x_0" localSheetId="88">'433'!$D$57</definedName>
    <definedName name="OSRRefD22_10x_0" localSheetId="90">'444'!$D$57</definedName>
    <definedName name="OSRRefD22_10x_0" localSheetId="91">'450'!$D$57</definedName>
    <definedName name="OSRRefD22_10x_0" localSheetId="72">'491'!$D$59</definedName>
    <definedName name="OSRRefD22_10x_0" localSheetId="86">'492'!$D$58</definedName>
    <definedName name="OSRRefD22_10x_0" localSheetId="93">'501'!$D$58</definedName>
    <definedName name="OSRRefD22_10x_0" localSheetId="39">'Div 2'!$D$56</definedName>
    <definedName name="OSRRefD22_10x_0" localSheetId="47">'Div 3'!$D$168:$D$169</definedName>
    <definedName name="OSRRefD22_10x_0" localSheetId="70">'Div 4'!$D$62</definedName>
    <definedName name="OSRRefD22_10x_0" localSheetId="92">'Div 5'!$D$58</definedName>
    <definedName name="OSRRefD22_10x_0" localSheetId="61">'Div 6'!$D$89</definedName>
    <definedName name="OSRRefD22_10x_0" localSheetId="2">Summary!$D$195:$D$196</definedName>
    <definedName name="OSRRefD22_11x_0" localSheetId="41">'201'!$D$54</definedName>
    <definedName name="OSRRefD22_11x_0" localSheetId="42">'202'!$D$55</definedName>
    <definedName name="OSRRefD22_11x_0" localSheetId="43">'203'!$D$60</definedName>
    <definedName name="OSRRefD22_11x_0" localSheetId="48">'300'!$D$166</definedName>
    <definedName name="OSRRefD22_11x_0" localSheetId="49">'300 &amp; 317'!$D$189</definedName>
    <definedName name="OSRRefD22_11x_0" localSheetId="50">'301'!$D$61</definedName>
    <definedName name="OSRRefD22_11x_0" localSheetId="55">'307'!$D$76</definedName>
    <definedName name="OSRRefD22_11x_0" localSheetId="51">'308'!$D$102:$D$103</definedName>
    <definedName name="OSRRefD22_11x_0" localSheetId="63">'310'!$D$65:$D$66</definedName>
    <definedName name="OSRRefD22_11x_0" localSheetId="71">'310 &amp; 491'!$D$71</definedName>
    <definedName name="OSRRefD22_11x_0" localSheetId="52">'311'!$D$102:$D$103</definedName>
    <definedName name="OSRRefD22_11x_0" localSheetId="57">'315'!$D$125:$D$126</definedName>
    <definedName name="OSRRefD22_11x_0" localSheetId="60">'316'!$D$71</definedName>
    <definedName name="OSRRefD22_11x_0" localSheetId="66">'321'!$D$63</definedName>
    <definedName name="OSRRefD22_11x_0" localSheetId="68">'325'!$D$57:$D$60</definedName>
    <definedName name="OSRRefD22_11x_0" localSheetId="58">'326'!$D$84:$D$86</definedName>
    <definedName name="OSRRefD22_11x_0" localSheetId="56">'331'!$D$122:$D$123</definedName>
    <definedName name="OSRRefD22_11x_0" localSheetId="59">'332'!$D$73</definedName>
    <definedName name="OSRRefD22_11x_0" localSheetId="54">'333'!$D$124:$D$125</definedName>
    <definedName name="OSRRefD22_11x_0" localSheetId="73">'405'!$D$58:$D$61</definedName>
    <definedName name="OSRRefD22_11x_0" localSheetId="75">'411'!$D$58:$D$59</definedName>
    <definedName name="OSRRefD22_11x_0" localSheetId="79">'415'!$D$57:$D$58</definedName>
    <definedName name="OSRRefD22_11x_0" localSheetId="80">'418'!$D$55:$D$59</definedName>
    <definedName name="OSRRefD22_11x_0" localSheetId="88">'433'!$D$59:$D$60</definedName>
    <definedName name="OSRRefD22_11x_0" localSheetId="90">'444'!$D$59:$D$60</definedName>
    <definedName name="OSRRefD22_11x_0" localSheetId="91">'450'!$D$59</definedName>
    <definedName name="OSRRefD22_11x_0" localSheetId="72">'491'!$D$61</definedName>
    <definedName name="OSRRefD22_11x_0" localSheetId="86">'492'!$D$60</definedName>
    <definedName name="OSRRefD22_11x_0" localSheetId="39">'Div 2'!$D$58</definedName>
    <definedName name="OSRRefD22_11x_0" localSheetId="47">'Div 3'!$D$171</definedName>
    <definedName name="OSRRefD22_11x_0" localSheetId="70">'Div 4'!$D$64</definedName>
    <definedName name="OSRRefD22_11x_0" localSheetId="2">Summary!$D$198</definedName>
    <definedName name="OSRRefD22_12x_0" localSheetId="41">'201'!$D$56:$D$57</definedName>
    <definedName name="OSRRefD22_12x_0" localSheetId="42">'202'!$D$57</definedName>
    <definedName name="OSRRefD22_12x_0" localSheetId="43">'203'!$D$62</definedName>
    <definedName name="OSRRefD22_12x_0" localSheetId="48">'300'!$D$168</definedName>
    <definedName name="OSRRefD22_12x_0" localSheetId="49">'300 &amp; 317'!$D$191</definedName>
    <definedName name="OSRRefD22_12x_0" localSheetId="50">'301'!$D$63</definedName>
    <definedName name="OSRRefD22_12x_0" localSheetId="55">'307'!$D$78</definedName>
    <definedName name="OSRRefD22_12x_0" localSheetId="51">'308'!$D$105:$D$106</definedName>
    <definedName name="OSRRefD22_12x_0" localSheetId="63">'310'!$D$68</definedName>
    <definedName name="OSRRefD22_12x_0" localSheetId="71">'310 &amp; 491'!$D$73</definedName>
    <definedName name="OSRRefD22_12x_0" localSheetId="52">'311'!$D$105:$D$106</definedName>
    <definedName name="OSRRefD22_12x_0" localSheetId="57">'315'!$D$128:$D$132</definedName>
    <definedName name="OSRRefD22_12x_0" localSheetId="60">'316'!$D$73</definedName>
    <definedName name="OSRRefD22_12x_0" localSheetId="68">'325'!$D$62:$D$66</definedName>
    <definedName name="OSRRefD22_12x_0" localSheetId="58">'326'!$D$88:$D$90</definedName>
    <definedName name="OSRRefD22_12x_0" localSheetId="56">'331'!$D$125</definedName>
    <definedName name="OSRRefD22_12x_0" localSheetId="59">'332'!$D$75</definedName>
    <definedName name="OSRRefD22_12x_0" localSheetId="54">'333'!$D$127</definedName>
    <definedName name="OSRRefD22_12x_0" localSheetId="73">'405'!$D$63</definedName>
    <definedName name="OSRRefD22_12x_0" localSheetId="75">'411'!$D$61</definedName>
    <definedName name="OSRRefD22_12x_0" localSheetId="79">'415'!$D$60:$D$63</definedName>
    <definedName name="OSRRefD22_12x_0" localSheetId="80">'418'!$D$61</definedName>
    <definedName name="OSRRefD22_12x_0" localSheetId="88">'433'!$D$62:$D$64</definedName>
    <definedName name="OSRRefD22_12x_0" localSheetId="90">'444'!$D$62:$D$65</definedName>
    <definedName name="OSRRefD22_12x_0" localSheetId="91">'450'!$D$61:$D$62</definedName>
    <definedName name="OSRRefD22_12x_0" localSheetId="72">'491'!$D$63</definedName>
    <definedName name="OSRRefD22_12x_0" localSheetId="86">'492'!$D$62:$D$64</definedName>
    <definedName name="OSRRefD22_12x_0" localSheetId="39">'Div 2'!$D$60:$D$62</definedName>
    <definedName name="OSRRefD22_12x_0" localSheetId="47">'Div 3'!$D$173</definedName>
    <definedName name="OSRRefD22_12x_0" localSheetId="70">'Div 4'!$D$66</definedName>
    <definedName name="OSRRefD22_12x_0" localSheetId="2">Summary!$D$200</definedName>
    <definedName name="OSRRefD22_13x_0" localSheetId="41">'201'!$D$59</definedName>
    <definedName name="OSRRefD22_13x_0" localSheetId="43">'203'!$D$64</definedName>
    <definedName name="OSRRefD22_13x_0" localSheetId="48">'300'!$D$170:$D$171</definedName>
    <definedName name="OSRRefD22_13x_0" localSheetId="49">'300 &amp; 317'!$D$193:$D$194</definedName>
    <definedName name="OSRRefD22_13x_0" localSheetId="50">'301'!$D$65</definedName>
    <definedName name="OSRRefD22_13x_0" localSheetId="51">'308'!$D$108</definedName>
    <definedName name="OSRRefD22_13x_0" localSheetId="63">'310'!$D$70:$D$73</definedName>
    <definedName name="OSRRefD22_13x_0" localSheetId="71">'310 &amp; 491'!$D$75:$D$77</definedName>
    <definedName name="OSRRefD22_13x_0" localSheetId="52">'311'!$D$108</definedName>
    <definedName name="OSRRefD22_13x_0" localSheetId="57">'315'!$D$134</definedName>
    <definedName name="OSRRefD22_13x_0" localSheetId="68">'325'!$D$68</definedName>
    <definedName name="OSRRefD22_13x_0" localSheetId="58">'326'!$D$92:$D$93</definedName>
    <definedName name="OSRRefD22_13x_0" localSheetId="56">'331'!$D$127</definedName>
    <definedName name="OSRRefD22_13x_0" localSheetId="54">'333'!$D$129</definedName>
    <definedName name="OSRRefD22_13x_0" localSheetId="73">'405'!$D$65:$D$72</definedName>
    <definedName name="OSRRefD22_13x_0" localSheetId="75">'411'!$D$63:$D$64</definedName>
    <definedName name="OSRRefD22_13x_0" localSheetId="79">'415'!$D$65</definedName>
    <definedName name="OSRRefD22_13x_0" localSheetId="88">'433'!$D$66:$D$73</definedName>
    <definedName name="OSRRefD22_13x_0" localSheetId="90">'444'!$D$67</definedName>
    <definedName name="OSRRefD22_13x_0" localSheetId="91">'450'!$D$64:$D$66</definedName>
    <definedName name="OSRRefD22_13x_0" localSheetId="72">'491'!$D$65:$D$67</definedName>
    <definedName name="OSRRefD22_13x_0" localSheetId="86">'492'!$D$66:$D$69</definedName>
    <definedName name="OSRRefD22_13x_0" localSheetId="39">'Div 2'!$D$64:$D$67</definedName>
    <definedName name="OSRRefD22_13x_0" localSheetId="47">'Div 3'!$D$175</definedName>
    <definedName name="OSRRefD22_13x_0" localSheetId="70">'Div 4'!$D$68</definedName>
    <definedName name="OSRRefD22_13x_0" localSheetId="2">Summary!$D$202</definedName>
    <definedName name="OSRRefD22_14x_0" localSheetId="41">'201'!$D$61</definedName>
    <definedName name="OSRRefD22_14x_0" localSheetId="48">'300'!$D$173</definedName>
    <definedName name="OSRRefD22_14x_0" localSheetId="49">'300 &amp; 317'!$D$196</definedName>
    <definedName name="OSRRefD22_14x_0" localSheetId="50">'301'!$D$67</definedName>
    <definedName name="OSRRefD22_14x_0" localSheetId="63">'310'!$D$75:$D$80</definedName>
    <definedName name="OSRRefD22_14x_0" localSheetId="71">'310 &amp; 491'!$D$79</definedName>
    <definedName name="OSRRefD22_14x_0" localSheetId="57">'315'!$D$136</definedName>
    <definedName name="OSRRefD22_14x_0" localSheetId="68">'325'!$D$70</definedName>
    <definedName name="OSRRefD22_14x_0" localSheetId="58">'326'!$D$95:$D$98</definedName>
    <definedName name="OSRRefD22_14x_0" localSheetId="56">'331'!$D$129:$D$131</definedName>
    <definedName name="OSRRefD22_14x_0" localSheetId="54">'333'!$D$131:$D$133</definedName>
    <definedName name="OSRRefD22_14x_0" localSheetId="73">'405'!$D$74</definedName>
    <definedName name="OSRRefD22_14x_0" localSheetId="75">'411'!$D$66</definedName>
    <definedName name="OSRRefD22_14x_0" localSheetId="79">'415'!$D$67:$D$72</definedName>
    <definedName name="OSRRefD22_14x_0" localSheetId="88">'433'!$D$75</definedName>
    <definedName name="OSRRefD22_14x_0" localSheetId="90">'444'!$D$69:$D$76</definedName>
    <definedName name="OSRRefD22_14x_0" localSheetId="91">'450'!$D$68:$D$73</definedName>
    <definedName name="OSRRefD22_14x_0" localSheetId="72">'491'!$D$69</definedName>
    <definedName name="OSRRefD22_14x_0" localSheetId="86">'492'!$D$71</definedName>
    <definedName name="OSRRefD22_14x_0" localSheetId="39">'Div 2'!$D$69</definedName>
    <definedName name="OSRRefD22_14x_0" localSheetId="47">'Div 3'!$D$177:$D$178</definedName>
    <definedName name="OSRRefD22_14x_0" localSheetId="70">'Div 4'!$D$70</definedName>
    <definedName name="OSRRefD22_14x_0" localSheetId="2">Summary!$D$204:$D$205</definedName>
    <definedName name="OSRRefD22_15x_0" localSheetId="48">'300'!$D$175</definedName>
    <definedName name="OSRRefD22_15x_0" localSheetId="49">'300 &amp; 317'!$D$198</definedName>
    <definedName name="OSRRefD22_15x_0" localSheetId="50">'301'!$D$69:$D$72</definedName>
    <definedName name="OSRRefD22_15x_0" localSheetId="63">'310'!$D$82</definedName>
    <definedName name="OSRRefD22_15x_0" localSheetId="71">'310 &amp; 491'!$D$81:$D$84</definedName>
    <definedName name="OSRRefD22_15x_0" localSheetId="58">'326'!$D$100</definedName>
    <definedName name="OSRRefD22_15x_0" localSheetId="56">'331'!$D$133:$D$134</definedName>
    <definedName name="OSRRefD22_15x_0" localSheetId="54">'333'!$D$135:$D$136</definedName>
    <definedName name="OSRRefD22_15x_0" localSheetId="73">'405'!$D$76</definedName>
    <definedName name="OSRRefD22_15x_0" localSheetId="79">'415'!$D$74</definedName>
    <definedName name="OSRRefD22_15x_0" localSheetId="90">'444'!$D$78</definedName>
    <definedName name="OSRRefD22_15x_0" localSheetId="91">'450'!$D$75</definedName>
    <definedName name="OSRRefD22_15x_0" localSheetId="72">'491'!$D$71:$D$74</definedName>
    <definedName name="OSRRefD22_15x_0" localSheetId="86">'492'!$D$73:$D$80</definedName>
    <definedName name="OSRRefD22_15x_0" localSheetId="39">'Div 2'!$D$71</definedName>
    <definedName name="OSRRefD22_15x_0" localSheetId="47">'Div 3'!$D$180</definedName>
    <definedName name="OSRRefD22_15x_0" localSheetId="70">'Div 4'!$D$72:$D$74</definedName>
    <definedName name="OSRRefD22_15x_0" localSheetId="2">Summary!$D$207</definedName>
    <definedName name="OSRRefD22_16x_0" localSheetId="48">'300'!$D$177:$D$180</definedName>
    <definedName name="OSRRefD22_16x_0" localSheetId="49">'300 &amp; 317'!$D$200:$D$203</definedName>
    <definedName name="OSRRefD22_16x_0" localSheetId="50">'301'!$D$74:$D$76</definedName>
    <definedName name="OSRRefD22_16x_0" localSheetId="63">'310'!$D$84</definedName>
    <definedName name="OSRRefD22_16x_0" localSheetId="71">'310 &amp; 491'!$D$86</definedName>
    <definedName name="OSRRefD22_16x_0" localSheetId="58">'326'!$D$102</definedName>
    <definedName name="OSRRefD22_16x_0" localSheetId="56">'331'!$D$136:$D$138</definedName>
    <definedName name="OSRRefD22_16x_0" localSheetId="54">'333'!$D$138:$D$141</definedName>
    <definedName name="OSRRefD22_16x_0" localSheetId="79">'415'!$D$76</definedName>
    <definedName name="OSRRefD22_16x_0" localSheetId="90">'444'!$D$80</definedName>
    <definedName name="OSRRefD22_16x_0" localSheetId="91">'450'!$D$77</definedName>
    <definedName name="OSRRefD22_16x_0" localSheetId="72">'491'!$D$76</definedName>
    <definedName name="OSRRefD22_16x_0" localSheetId="86">'492'!$D$82</definedName>
    <definedName name="OSRRefD22_16x_0" localSheetId="39">'Div 2'!$D$73:$D$77</definedName>
    <definedName name="OSRRefD22_16x_0" localSheetId="47">'Div 3'!$D$182</definedName>
    <definedName name="OSRRefD22_16x_0" localSheetId="70">'Div 4'!$D$76</definedName>
    <definedName name="OSRRefD22_16x_0" localSheetId="2">Summary!$D$209</definedName>
    <definedName name="OSRRefD22_17x_0" localSheetId="48">'300'!$D$182:$D$184</definedName>
    <definedName name="OSRRefD22_17x_0" localSheetId="49">'300 &amp; 317'!$D$205:$D$207</definedName>
    <definedName name="OSRRefD22_17x_0" localSheetId="50">'301'!$D$78</definedName>
    <definedName name="OSRRefD22_17x_0" localSheetId="71">'310 &amp; 491'!$D$88:$D$96</definedName>
    <definedName name="OSRRefD22_17x_0" localSheetId="58">'326'!$D$104</definedName>
    <definedName name="OSRRefD22_17x_0" localSheetId="56">'331'!$D$140:$D$141</definedName>
    <definedName name="OSRRefD22_17x_0" localSheetId="54">'333'!$D$143:$D$144</definedName>
    <definedName name="OSRRefD22_17x_0" localSheetId="79">'415'!$D$78</definedName>
    <definedName name="OSRRefD22_17x_0" localSheetId="72">'491'!$D$78:$D$86</definedName>
    <definedName name="OSRRefD22_17x_0" localSheetId="86">'492'!$D$84</definedName>
    <definedName name="OSRRefD22_17x_0" localSheetId="39">'Div 2'!$D$79:$D$80</definedName>
    <definedName name="OSRRefD22_17x_0" localSheetId="47">'Div 3'!$D$184:$D$187</definedName>
    <definedName name="OSRRefD22_17x_0" localSheetId="70">'Div 4'!$D$78:$D$81</definedName>
    <definedName name="OSRRefD22_17x_0" localSheetId="2">Summary!$D$211</definedName>
    <definedName name="OSRRefD22_18x_0" localSheetId="48">'300'!$D$186:$D$189</definedName>
    <definedName name="OSRRefD22_18x_0" localSheetId="49">'300 &amp; 317'!$D$209:$D$212</definedName>
    <definedName name="OSRRefD22_18x_0" localSheetId="50">'301'!$D$80:$D$85</definedName>
    <definedName name="OSRRefD22_18x_0" localSheetId="71">'310 &amp; 491'!$D$98</definedName>
    <definedName name="OSRRefD22_18x_0" localSheetId="56">'331'!$D$143:$D$148</definedName>
    <definedName name="OSRRefD22_18x_0" localSheetId="54">'333'!$D$146:$D$151</definedName>
    <definedName name="OSRRefD22_18x_0" localSheetId="72">'491'!$D$88</definedName>
    <definedName name="OSRRefD22_18x_0" localSheetId="86">'492'!$D$86:$D$87</definedName>
    <definedName name="OSRRefD22_18x_0" localSheetId="39">'Div 2'!$D$82</definedName>
    <definedName name="OSRRefD22_18x_0" localSheetId="47">'Div 3'!$D$189:$D$191</definedName>
    <definedName name="OSRRefD22_18x_0" localSheetId="70">'Div 4'!$D$83:$D$84</definedName>
    <definedName name="OSRRefD22_18x_0" localSheetId="2">Summary!$D$213:$D$216</definedName>
    <definedName name="OSRRefD22_19x_0" localSheetId="48">'300'!$D$191:$D$192</definedName>
    <definedName name="OSRRefD22_19x_0" localSheetId="49">'300 &amp; 317'!$D$214:$D$215</definedName>
    <definedName name="OSRRefD22_19x_0" localSheetId="50">'301'!$D$87</definedName>
    <definedName name="OSRRefD22_19x_0" localSheetId="71">'310 &amp; 491'!$D$100</definedName>
    <definedName name="OSRRefD22_19x_0" localSheetId="56">'331'!$D$150</definedName>
    <definedName name="OSRRefD22_19x_0" localSheetId="54">'333'!$D$153</definedName>
    <definedName name="OSRRefD22_19x_0" localSheetId="72">'491'!$D$90</definedName>
    <definedName name="OSRRefD22_19x_0" localSheetId="39">'Div 2'!$D$84:$D$85</definedName>
    <definedName name="OSRRefD22_19x_0" localSheetId="47">'Div 3'!$D$193:$D$197</definedName>
    <definedName name="OSRRefD22_19x_0" localSheetId="70">'Div 4'!$D$86:$D$94</definedName>
    <definedName name="OSRRefD22_19x_0" localSheetId="2">Summary!$D$218:$D$220</definedName>
    <definedName name="OSRRefD22_1x_0" localSheetId="40">'200'!$D$22</definedName>
    <definedName name="OSRRefD22_1x_0" localSheetId="41">'201'!$D$29:$D$31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'206'!$D$29:$D$31</definedName>
    <definedName name="OSRRefD22_1x_0" localSheetId="48">'300'!$D$136:$D$142</definedName>
    <definedName name="OSRRefD22_1x_0" localSheetId="49">'300 &amp; 317'!$D$159:$D$165</definedName>
    <definedName name="OSRRefD22_1x_0" localSheetId="50">'301'!$D$32:$D$38</definedName>
    <definedName name="OSRRefD22_1x_0" localSheetId="55">'307'!$D$47:$D$50</definedName>
    <definedName name="OSRRefD22_1x_0" localSheetId="51">'308'!$D$71:$D$77</definedName>
    <definedName name="OSRRefD22_1x_0" localSheetId="64">'309'!$D$23</definedName>
    <definedName name="OSRRefD22_1x_0" localSheetId="63">'310'!$D$41:$D$44</definedName>
    <definedName name="OSRRefD22_1x_0" localSheetId="71">'310 &amp; 491'!$D$45:$D$49</definedName>
    <definedName name="OSRRefD22_1x_0" localSheetId="52">'311'!$D$71:$D$77</definedName>
    <definedName name="OSRRefD22_1x_0" localSheetId="65">'313'!$D$34</definedName>
    <definedName name="OSRRefD22_1x_0" localSheetId="57">'315'!$D$96:$D$100</definedName>
    <definedName name="OSRRefD22_1x_0" localSheetId="60">'316'!$D$42:$D$44</definedName>
    <definedName name="OSRRefD22_1x_0" localSheetId="62">'317'!$D$64:$D$68</definedName>
    <definedName name="OSRRefD22_1x_0" localSheetId="66">'321'!$D$34:$D$37</definedName>
    <definedName name="OSRRefD22_1x_0" localSheetId="67">'322'!$D$27</definedName>
    <definedName name="OSRRefD22_1x_0" localSheetId="68">'325'!$D$33:$D$35</definedName>
    <definedName name="OSRRefD22_1x_0" localSheetId="58">'326'!$D$60:$D$64</definedName>
    <definedName name="OSRRefD22_1x_0" localSheetId="69">'327'!$D$26</definedName>
    <definedName name="OSRRefD22_1x_0" localSheetId="56">'331'!$D$96:$D$100</definedName>
    <definedName name="OSRRefD22_1x_0" localSheetId="59">'332'!$D$44:$D$46</definedName>
    <definedName name="OSRRefD22_1x_0" localSheetId="54">'333'!$D$98:$D$102</definedName>
    <definedName name="OSRRefD22_1x_0" localSheetId="73">'405'!$D$33:$D$36</definedName>
    <definedName name="OSRRefD22_1x_0" localSheetId="74">'406'!$D$22</definedName>
    <definedName name="OSRRefD22_1x_0" localSheetId="75">'411'!$D$29:$D$33</definedName>
    <definedName name="OSRRefD22_1x_0" localSheetId="76">'412'!$D$22</definedName>
    <definedName name="OSRRefD22_1x_0" localSheetId="77">'413'!$D$26</definedName>
    <definedName name="OSRRefD22_1x_0" localSheetId="78">'414'!$D$23</definedName>
    <definedName name="OSRRefD22_1x_0" localSheetId="79">'415'!$D$33:$D$36</definedName>
    <definedName name="OSRRefD22_1x_0" localSheetId="80">'418'!$D$30:$D$33</definedName>
    <definedName name="OSRRefD22_1x_0" localSheetId="82">'423'!$D$23</definedName>
    <definedName name="OSRRefD22_1x_0" localSheetId="83">'424'!$D$22</definedName>
    <definedName name="OSRRefD22_1x_0" localSheetId="84">'425'!$D$28</definedName>
    <definedName name="OSRRefD22_1x_0" localSheetId="87">'430'!$D$29</definedName>
    <definedName name="OSRRefD22_1x_0" localSheetId="88">'433'!$D$35:$D$39</definedName>
    <definedName name="OSRRefD22_1x_0" localSheetId="89">'435'!$D$22</definedName>
    <definedName name="OSRRefD22_1x_0" localSheetId="90">'444'!$D$35:$D$39</definedName>
    <definedName name="OSRRefD22_1x_0" localSheetId="91">'450'!$D$35:$D$39</definedName>
    <definedName name="OSRRefD22_1x_0" localSheetId="72">'491'!$D$36:$D$40</definedName>
    <definedName name="OSRRefD22_1x_0" localSheetId="86">'492'!$D$35:$D$40</definedName>
    <definedName name="OSRRefD22_1x_0" localSheetId="93">'501'!$D$31:$D$36</definedName>
    <definedName name="OSRRefD22_1x_0" localSheetId="39">'Div 2'!$D$32:$D$37</definedName>
    <definedName name="OSRRefD22_1x_0" localSheetId="47">'Div 3'!$D$141:$D$147</definedName>
    <definedName name="OSRRefD22_1x_0" localSheetId="70">'Div 4'!$D$38:$D$43</definedName>
    <definedName name="OSRRefD22_1x_0" localSheetId="92">'Div 5'!$D$31:$D$36</definedName>
    <definedName name="OSRRefD22_1x_0" localSheetId="61">'Div 6'!$D$64:$D$68</definedName>
    <definedName name="OSRRefD22_1x_0" localSheetId="2">Summary!$D$168:$D$174</definedName>
    <definedName name="OSRRefD22_20x_0" localSheetId="48">'300'!$D$194:$D$200</definedName>
    <definedName name="OSRRefD22_20x_0" localSheetId="49">'300 &amp; 317'!$D$217:$D$223</definedName>
    <definedName name="OSRRefD22_20x_0" localSheetId="50">'301'!$D$89</definedName>
    <definedName name="OSRRefD22_20x_0" localSheetId="71">'310 &amp; 491'!$D$102:$D$103</definedName>
    <definedName name="OSRRefD22_20x_0" localSheetId="56">'331'!$D$152</definedName>
    <definedName name="OSRRefD22_20x_0" localSheetId="54">'333'!$D$155</definedName>
    <definedName name="OSRRefD22_20x_0" localSheetId="72">'491'!$D$92:$D$93</definedName>
    <definedName name="OSRRefD22_20x_0" localSheetId="47">'Div 3'!$D$199:$D$200</definedName>
    <definedName name="OSRRefD22_20x_0" localSheetId="70">'Div 4'!$D$96</definedName>
    <definedName name="OSRRefD22_20x_0" localSheetId="2">Summary!$D$222:$D$226</definedName>
    <definedName name="OSRRefD22_21x_0" localSheetId="48">'300'!$D$202:$D$203</definedName>
    <definedName name="OSRRefD22_21x_0" localSheetId="49">'300 &amp; 317'!$D$225:$D$226</definedName>
    <definedName name="OSRRefD22_21x_0" localSheetId="50">'301'!$D$91:$D$92</definedName>
    <definedName name="OSRRefD22_21x_0" localSheetId="71">'310 &amp; 491'!$D$105</definedName>
    <definedName name="OSRRefD22_21x_0" localSheetId="56">'331'!$D$154</definedName>
    <definedName name="OSRRefD22_21x_0" localSheetId="54">'333'!$D$157</definedName>
    <definedName name="OSRRefD22_21x_0" localSheetId="72">'491'!$D$95</definedName>
    <definedName name="OSRRefD22_21x_0" localSheetId="47">'Div 3'!$D$202:$D$208</definedName>
    <definedName name="OSRRefD22_21x_0" localSheetId="70">'Div 4'!$D$98</definedName>
    <definedName name="OSRRefD22_21x_0" localSheetId="2">Summary!$D$228:$D$229</definedName>
    <definedName name="OSRRefD22_22x_0" localSheetId="48">'300'!$D$205</definedName>
    <definedName name="OSRRefD22_22x_0" localSheetId="49">'300 &amp; 317'!$D$228</definedName>
    <definedName name="OSRRefD22_22x_0" localSheetId="50">'301'!$D$94</definedName>
    <definedName name="OSRRefD22_22x_0" localSheetId="54">'333'!$D$159</definedName>
    <definedName name="OSRRefD22_22x_0" localSheetId="47">'Div 3'!$D$210:$D$211</definedName>
    <definedName name="OSRRefD22_22x_0" localSheetId="70">'Div 4'!$D$100:$D$101</definedName>
    <definedName name="OSRRefD22_22x_0" localSheetId="2">Summary!$D$231:$D$239</definedName>
    <definedName name="OSRRefD22_23x_0" localSheetId="48">'300'!$D$207:$D$209</definedName>
    <definedName name="OSRRefD22_23x_0" localSheetId="49">'300 &amp; 317'!$D$230:$D$232</definedName>
    <definedName name="OSRRefD22_23x_0" localSheetId="47">'Div 3'!$D$213</definedName>
    <definedName name="OSRRefD22_23x_0" localSheetId="70">'Div 4'!$D$103</definedName>
    <definedName name="OSRRefD22_23x_0" localSheetId="2">Summary!$D$241:$D$242</definedName>
    <definedName name="OSRRefD22_24x_0" localSheetId="48">'300'!$D$211</definedName>
    <definedName name="OSRRefD22_24x_0" localSheetId="49">'300 &amp; 317'!$D$234</definedName>
    <definedName name="OSRRefD22_24x_0" localSheetId="47">'Div 3'!$D$215:$D$217</definedName>
    <definedName name="OSRRefD22_24x_0" localSheetId="2">Summary!$D$244</definedName>
    <definedName name="OSRRefD22_25x_0" localSheetId="47">'Div 3'!$D$219</definedName>
    <definedName name="OSRRefD22_25x_0" localSheetId="2">Summary!$D$246:$D$248</definedName>
    <definedName name="OSRRefD22_26x_0" localSheetId="2">Summary!$D$250</definedName>
    <definedName name="OSRRefD22_2x_0" localSheetId="40">'200'!$D$24</definedName>
    <definedName name="OSRRefD22_2x_0" localSheetId="41">'201'!$D$33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'206'!$D$33</definedName>
    <definedName name="OSRRefD22_2x_0" localSheetId="48">'300'!$D$144</definedName>
    <definedName name="OSRRefD22_2x_0" localSheetId="49">'300 &amp; 317'!$D$167</definedName>
    <definedName name="OSRRefD22_2x_0" localSheetId="50">'301'!$D$40</definedName>
    <definedName name="OSRRefD22_2x_0" localSheetId="55">'307'!$D$52</definedName>
    <definedName name="OSRRefD22_2x_0" localSheetId="51">'308'!$D$79</definedName>
    <definedName name="OSRRefD22_2x_0" localSheetId="64">'309'!$D$25</definedName>
    <definedName name="OSRRefD22_2x_0" localSheetId="63">'310'!$D$46</definedName>
    <definedName name="OSRRefD22_2x_0" localSheetId="71">'310 &amp; 491'!$D$51</definedName>
    <definedName name="OSRRefD22_2x_0" localSheetId="52">'311'!$D$79</definedName>
    <definedName name="OSRRefD22_2x_0" localSheetId="65">'313'!$D$36</definedName>
    <definedName name="OSRRefD22_2x_0" localSheetId="57">'315'!$D$102</definedName>
    <definedName name="OSRRefD22_2x_0" localSheetId="60">'316'!$D$46</definedName>
    <definedName name="OSRRefD22_2x_0" localSheetId="62">'317'!$D$70</definedName>
    <definedName name="OSRRefD22_2x_0" localSheetId="66">'321'!$D$39</definedName>
    <definedName name="OSRRefD22_2x_0" localSheetId="67">'322'!$D$29</definedName>
    <definedName name="OSRRefD22_2x_0" localSheetId="68">'325'!$D$37</definedName>
    <definedName name="OSRRefD22_2x_0" localSheetId="58">'326'!$D$66</definedName>
    <definedName name="OSRRefD22_2x_0" localSheetId="56">'331'!$D$102</definedName>
    <definedName name="OSRRefD22_2x_0" localSheetId="59">'332'!$D$48</definedName>
    <definedName name="OSRRefD22_2x_0" localSheetId="54">'333'!$D$104</definedName>
    <definedName name="OSRRefD22_2x_0" localSheetId="73">'405'!$D$38</definedName>
    <definedName name="OSRRefD22_2x_0" localSheetId="74">'406'!$D$24</definedName>
    <definedName name="OSRRefD22_2x_0" localSheetId="75">'411'!$D$35</definedName>
    <definedName name="OSRRefD22_2x_0" localSheetId="76">'412'!$D$24:$D$25</definedName>
    <definedName name="OSRRefD22_2x_0" localSheetId="77">'413'!$D$28</definedName>
    <definedName name="OSRRefD22_2x_0" localSheetId="78">'414'!$D$25</definedName>
    <definedName name="OSRRefD22_2x_0" localSheetId="79">'415'!$D$38</definedName>
    <definedName name="OSRRefD22_2x_0" localSheetId="80">'418'!$D$35</definedName>
    <definedName name="OSRRefD22_2x_0" localSheetId="82">'423'!$D$25</definedName>
    <definedName name="OSRRefD22_2x_0" localSheetId="83">'424'!$D$24</definedName>
    <definedName name="OSRRefD22_2x_0" localSheetId="84">'425'!$D$30</definedName>
    <definedName name="OSRRefD22_2x_0" localSheetId="87">'430'!$D$31</definedName>
    <definedName name="OSRRefD22_2x_0" localSheetId="88">'433'!$D$41</definedName>
    <definedName name="OSRRefD22_2x_0" localSheetId="90">'444'!$D$41</definedName>
    <definedName name="OSRRefD22_2x_0" localSheetId="91">'450'!$D$41</definedName>
    <definedName name="OSRRefD22_2x_0" localSheetId="72">'491'!$D$42</definedName>
    <definedName name="OSRRefD22_2x_0" localSheetId="86">'492'!$D$42</definedName>
    <definedName name="OSRRefD22_2x_0" localSheetId="93">'501'!$D$38</definedName>
    <definedName name="OSRRefD22_2x_0" localSheetId="39">'Div 2'!$D$39</definedName>
    <definedName name="OSRRefD22_2x_0" localSheetId="47">'Div 3'!$D$149</definedName>
    <definedName name="OSRRefD22_2x_0" localSheetId="70">'Div 4'!$D$45</definedName>
    <definedName name="OSRRefD22_2x_0" localSheetId="92">'Div 5'!$D$38</definedName>
    <definedName name="OSRRefD22_2x_0" localSheetId="61">'Div 6'!$D$70</definedName>
    <definedName name="OSRRefD22_2x_0" localSheetId="2">Summary!$D$176</definedName>
    <definedName name="OSRRefD22_3x_0" localSheetId="40">'200'!$D$26</definedName>
    <definedName name="OSRRefD22_3x_0" localSheetId="41">'201'!$D$35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'206'!$D$35</definedName>
    <definedName name="OSRRefD22_3x_0" localSheetId="48">'300'!$D$146:$D$147</definedName>
    <definedName name="OSRRefD22_3x_0" localSheetId="49">'300 &amp; 317'!$D$169:$D$170</definedName>
    <definedName name="OSRRefD22_3x_0" localSheetId="50">'301'!$D$42:$D$43</definedName>
    <definedName name="OSRRefD22_3x_0" localSheetId="55">'307'!$D$54</definedName>
    <definedName name="OSRRefD22_3x_0" localSheetId="51">'308'!$D$81:$D$82</definedName>
    <definedName name="OSRRefD22_3x_0" localSheetId="64">'309'!$D$27</definedName>
    <definedName name="OSRRefD22_3x_0" localSheetId="63">'310'!$D$48</definedName>
    <definedName name="OSRRefD22_3x_0" localSheetId="71">'310 &amp; 491'!$D$53</definedName>
    <definedName name="OSRRefD22_3x_0" localSheetId="52">'311'!$D$81:$D$82</definedName>
    <definedName name="OSRRefD22_3x_0" localSheetId="65">'313'!$D$38</definedName>
    <definedName name="OSRRefD22_3x_0" localSheetId="57">'315'!$D$104:$D$105</definedName>
    <definedName name="OSRRefD22_3x_0" localSheetId="60">'316'!$D$48</definedName>
    <definedName name="OSRRefD22_3x_0" localSheetId="62">'317'!$D$72</definedName>
    <definedName name="OSRRefD22_3x_0" localSheetId="66">'321'!$D$41</definedName>
    <definedName name="OSRRefD22_3x_0" localSheetId="67">'322'!$D$31</definedName>
    <definedName name="OSRRefD22_3x_0" localSheetId="68">'325'!$D$39</definedName>
    <definedName name="OSRRefD22_3x_0" localSheetId="58">'326'!$D$68</definedName>
    <definedName name="OSRRefD22_3x_0" localSheetId="56">'331'!$D$104</definedName>
    <definedName name="OSRRefD22_3x_0" localSheetId="59">'332'!$D$50</definedName>
    <definedName name="OSRRefD22_3x_0" localSheetId="54">'333'!$D$106</definedName>
    <definedName name="OSRRefD22_3x_0" localSheetId="73">'405'!$D$40</definedName>
    <definedName name="OSRRefD22_3x_0" localSheetId="74">'406'!$D$26</definedName>
    <definedName name="OSRRefD22_3x_0" localSheetId="75">'411'!$D$37:$D$38</definedName>
    <definedName name="OSRRefD22_3x_0" localSheetId="76">'412'!$D$27</definedName>
    <definedName name="OSRRefD22_3x_0" localSheetId="77">'413'!$D$30</definedName>
    <definedName name="OSRRefD22_3x_0" localSheetId="78">'414'!$D$27</definedName>
    <definedName name="OSRRefD22_3x_0" localSheetId="79">'415'!$D$40</definedName>
    <definedName name="OSRRefD22_3x_0" localSheetId="80">'418'!$D$37</definedName>
    <definedName name="OSRRefD22_3x_0" localSheetId="82">'423'!$D$27</definedName>
    <definedName name="OSRRefD22_3x_0" localSheetId="83">'424'!$D$26</definedName>
    <definedName name="OSRRefD22_3x_0" localSheetId="84">'425'!$D$32</definedName>
    <definedName name="OSRRefD22_3x_0" localSheetId="87">'430'!$D$33</definedName>
    <definedName name="OSRRefD22_3x_0" localSheetId="88">'433'!$D$43</definedName>
    <definedName name="OSRRefD22_3x_0" localSheetId="90">'444'!$D$43</definedName>
    <definedName name="OSRRefD22_3x_0" localSheetId="91">'450'!$D$43</definedName>
    <definedName name="OSRRefD22_3x_0" localSheetId="72">'491'!$D$44</definedName>
    <definedName name="OSRRefD22_3x_0" localSheetId="86">'492'!$D$44</definedName>
    <definedName name="OSRRefD22_3x_0" localSheetId="93">'501'!$D$40</definedName>
    <definedName name="OSRRefD22_3x_0" localSheetId="39">'Div 2'!$D$41</definedName>
    <definedName name="OSRRefD22_3x_0" localSheetId="47">'Div 3'!$D$151:$D$152</definedName>
    <definedName name="OSRRefD22_3x_0" localSheetId="70">'Div 4'!$D$47</definedName>
    <definedName name="OSRRefD22_3x_0" localSheetId="92">'Div 5'!$D$40</definedName>
    <definedName name="OSRRefD22_3x_0" localSheetId="61">'Div 6'!$D$72</definedName>
    <definedName name="OSRRefD22_3x_0" localSheetId="2">Summary!$D$178:$D$179</definedName>
    <definedName name="OSRRefD22_4x_0" localSheetId="41">'201'!$D$37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'205'!$D$35:$D$36</definedName>
    <definedName name="OSRRefD22_4x_0" localSheetId="46">'206'!$D$37</definedName>
    <definedName name="OSRRefD22_4x_0" localSheetId="48">'300'!$D$149</definedName>
    <definedName name="OSRRefD22_4x_0" localSheetId="49">'300 &amp; 317'!$D$172</definedName>
    <definedName name="OSRRefD22_4x_0" localSheetId="50">'301'!$D$45</definedName>
    <definedName name="OSRRefD22_4x_0" localSheetId="55">'307'!$D$56:$D$57</definedName>
    <definedName name="OSRRefD22_4x_0" localSheetId="51">'308'!$D$84</definedName>
    <definedName name="OSRRefD22_4x_0" localSheetId="64">'309'!$D$29</definedName>
    <definedName name="OSRRefD22_4x_0" localSheetId="63">'310'!$D$50</definedName>
    <definedName name="OSRRefD22_4x_0" localSheetId="71">'310 &amp; 491'!$D$55</definedName>
    <definedName name="OSRRefD22_4x_0" localSheetId="52">'311'!$D$84</definedName>
    <definedName name="OSRRefD22_4x_0" localSheetId="65">'313'!$D$40</definedName>
    <definedName name="OSRRefD22_4x_0" localSheetId="57">'315'!$D$107</definedName>
    <definedName name="OSRRefD22_4x_0" localSheetId="60">'316'!$D$50</definedName>
    <definedName name="OSRRefD22_4x_0" localSheetId="62">'317'!$D$74</definedName>
    <definedName name="OSRRefD22_4x_0" localSheetId="66">'321'!$D$43</definedName>
    <definedName name="OSRRefD22_4x_0" localSheetId="67">'322'!$D$33:$D$34</definedName>
    <definedName name="OSRRefD22_4x_0" localSheetId="68">'325'!$D$41</definedName>
    <definedName name="OSRRefD22_4x_0" localSheetId="58">'326'!$D$70</definedName>
    <definedName name="OSRRefD22_4x_0" localSheetId="56">'331'!$D$106</definedName>
    <definedName name="OSRRefD22_4x_0" localSheetId="59">'332'!$D$52</definedName>
    <definedName name="OSRRefD22_4x_0" localSheetId="54">'333'!$D$108</definedName>
    <definedName name="OSRRefD22_4x_0" localSheetId="73">'405'!$D$42</definedName>
    <definedName name="OSRRefD22_4x_0" localSheetId="74">'406'!$D$28</definedName>
    <definedName name="OSRRefD22_4x_0" localSheetId="75">'411'!$D$40</definedName>
    <definedName name="OSRRefD22_4x_0" localSheetId="76">'412'!$D$29</definedName>
    <definedName name="OSRRefD22_4x_0" localSheetId="77">'413'!$D$32</definedName>
    <definedName name="OSRRefD22_4x_0" localSheetId="78">'414'!$D$29:$D$30</definedName>
    <definedName name="OSRRefD22_4x_0" localSheetId="79">'415'!$D$42</definedName>
    <definedName name="OSRRefD22_4x_0" localSheetId="80">'418'!$D$39:$D$40</definedName>
    <definedName name="OSRRefD22_4x_0" localSheetId="84">'425'!$D$34</definedName>
    <definedName name="OSRRefD22_4x_0" localSheetId="87">'430'!$D$35</definedName>
    <definedName name="OSRRefD22_4x_0" localSheetId="88">'433'!$D$45</definedName>
    <definedName name="OSRRefD22_4x_0" localSheetId="90">'444'!$D$45</definedName>
    <definedName name="OSRRefD22_4x_0" localSheetId="91">'450'!$D$45</definedName>
    <definedName name="OSRRefD22_4x_0" localSheetId="72">'491'!$D$46</definedName>
    <definedName name="OSRRefD22_4x_0" localSheetId="86">'492'!$D$46</definedName>
    <definedName name="OSRRefD22_4x_0" localSheetId="93">'501'!$D$42:$D$43</definedName>
    <definedName name="OSRRefD22_4x_0" localSheetId="39">'Div 2'!$D$43</definedName>
    <definedName name="OSRRefD22_4x_0" localSheetId="47">'Div 3'!$D$154</definedName>
    <definedName name="OSRRefD22_4x_0" localSheetId="70">'Div 4'!$D$49</definedName>
    <definedName name="OSRRefD22_4x_0" localSheetId="92">'Div 5'!$D$42:$D$43</definedName>
    <definedName name="OSRRefD22_4x_0" localSheetId="61">'Div 6'!$D$74</definedName>
    <definedName name="OSRRefD22_4x_0" localSheetId="2">Summary!$D$181</definedName>
    <definedName name="OSRRefD22_5x_0" localSheetId="41">'201'!$D$39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'205'!$D$38:$D$40</definedName>
    <definedName name="OSRRefD22_5x_0" localSheetId="46">'206'!$D$39</definedName>
    <definedName name="OSRRefD22_5x_0" localSheetId="48">'300'!$D$151:$D$152</definedName>
    <definedName name="OSRRefD22_5x_0" localSheetId="49">'300 &amp; 317'!$D$174:$D$175</definedName>
    <definedName name="OSRRefD22_5x_0" localSheetId="50">'301'!$D$47:$D$48</definedName>
    <definedName name="OSRRefD22_5x_0" localSheetId="55">'307'!$D$59</definedName>
    <definedName name="OSRRefD22_5x_0" localSheetId="51">'308'!$D$86</definedName>
    <definedName name="OSRRefD22_5x_0" localSheetId="64">'309'!$D$31:$D$32</definedName>
    <definedName name="OSRRefD22_5x_0" localSheetId="63">'310'!$D$52:$D$53</definedName>
    <definedName name="OSRRefD22_5x_0" localSheetId="71">'310 &amp; 491'!$D$57:$D$58</definedName>
    <definedName name="OSRRefD22_5x_0" localSheetId="52">'311'!$D$86</definedName>
    <definedName name="OSRRefD22_5x_0" localSheetId="65">'313'!$D$42</definedName>
    <definedName name="OSRRefD22_5x_0" localSheetId="57">'315'!$D$109</definedName>
    <definedName name="OSRRefD22_5x_0" localSheetId="60">'316'!$D$52</definedName>
    <definedName name="OSRRefD22_5x_0" localSheetId="62">'317'!$D$76:$D$77</definedName>
    <definedName name="OSRRefD22_5x_0" localSheetId="66">'321'!$D$45</definedName>
    <definedName name="OSRRefD22_5x_0" localSheetId="67">'322'!$D$36</definedName>
    <definedName name="OSRRefD22_5x_0" localSheetId="68">'325'!$D$43:$D$44</definedName>
    <definedName name="OSRRefD22_5x_0" localSheetId="58">'326'!$D$72</definedName>
    <definedName name="OSRRefD22_5x_0" localSheetId="56">'331'!$D$108:$D$109</definedName>
    <definedName name="OSRRefD22_5x_0" localSheetId="59">'332'!$D$54</definedName>
    <definedName name="OSRRefD22_5x_0" localSheetId="54">'333'!$D$110:$D$111</definedName>
    <definedName name="OSRRefD22_5x_0" localSheetId="73">'405'!$D$44:$D$45</definedName>
    <definedName name="OSRRefD22_5x_0" localSheetId="75">'411'!$D$42</definedName>
    <definedName name="OSRRefD22_5x_0" localSheetId="77">'413'!$D$34</definedName>
    <definedName name="OSRRefD22_5x_0" localSheetId="79">'415'!$D$44:$D$45</definedName>
    <definedName name="OSRRefD22_5x_0" localSheetId="80">'418'!$D$42</definedName>
    <definedName name="OSRRefD22_5x_0" localSheetId="84">'425'!$D$36:$D$37</definedName>
    <definedName name="OSRRefD22_5x_0" localSheetId="87">'430'!$D$37:$D$38</definedName>
    <definedName name="OSRRefD22_5x_0" localSheetId="88">'433'!$D$47</definedName>
    <definedName name="OSRRefD22_5x_0" localSheetId="90">'444'!$D$47</definedName>
    <definedName name="OSRRefD22_5x_0" localSheetId="91">'450'!$D$47</definedName>
    <definedName name="OSRRefD22_5x_0" localSheetId="72">'491'!$D$48:$D$49</definedName>
    <definedName name="OSRRefD22_5x_0" localSheetId="86">'492'!$D$48</definedName>
    <definedName name="OSRRefD22_5x_0" localSheetId="93">'501'!$D$45</definedName>
    <definedName name="OSRRefD22_5x_0" localSheetId="39">'Div 2'!$D$45</definedName>
    <definedName name="OSRRefD22_5x_0" localSheetId="47">'Div 3'!$D$156:$D$157</definedName>
    <definedName name="OSRRefD22_5x_0" localSheetId="70">'Div 4'!$D$51:$D$52</definedName>
    <definedName name="OSRRefD22_5x_0" localSheetId="92">'Div 5'!$D$45</definedName>
    <definedName name="OSRRefD22_5x_0" localSheetId="61">'Div 6'!$D$76:$D$77</definedName>
    <definedName name="OSRRefD22_5x_0" localSheetId="2">Summary!$D$183:$D$184</definedName>
    <definedName name="OSRRefD22_6x_0" localSheetId="41">'201'!$D$41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'205'!$D$42</definedName>
    <definedName name="OSRRefD22_6x_0" localSheetId="46">'206'!$D$41</definedName>
    <definedName name="OSRRefD22_6x_0" localSheetId="48">'300'!$D$154:$D$155</definedName>
    <definedName name="OSRRefD22_6x_0" localSheetId="49">'300 &amp; 317'!$D$177:$D$178</definedName>
    <definedName name="OSRRefD22_6x_0" localSheetId="50">'301'!$D$50:$D$51</definedName>
    <definedName name="OSRRefD22_6x_0" localSheetId="55">'307'!$D$61</definedName>
    <definedName name="OSRRefD22_6x_0" localSheetId="51">'308'!$D$88:$D$89</definedName>
    <definedName name="OSRRefD22_6x_0" localSheetId="64">'309'!$D$34:$D$35</definedName>
    <definedName name="OSRRefD22_6x_0" localSheetId="63">'310'!$D$55</definedName>
    <definedName name="OSRRefD22_6x_0" localSheetId="71">'310 &amp; 491'!$D$60</definedName>
    <definedName name="OSRRefD22_6x_0" localSheetId="52">'311'!$D$88:$D$89</definedName>
    <definedName name="OSRRefD22_6x_0" localSheetId="65">'313'!$D$44</definedName>
    <definedName name="OSRRefD22_6x_0" localSheetId="57">'315'!$D$111:$D$112</definedName>
    <definedName name="OSRRefD22_6x_0" localSheetId="60">'316'!$D$54:$D$55</definedName>
    <definedName name="OSRRefD22_6x_0" localSheetId="62">'317'!$D$79</definedName>
    <definedName name="OSRRefD22_6x_0" localSheetId="66">'321'!$D$47:$D$48</definedName>
    <definedName name="OSRRefD22_6x_0" localSheetId="67">'322'!$D$38</definedName>
    <definedName name="OSRRefD22_6x_0" localSheetId="68">'325'!$D$46</definedName>
    <definedName name="OSRRefD22_6x_0" localSheetId="58">'326'!$D$74</definedName>
    <definedName name="OSRRefD22_6x_0" localSheetId="56">'331'!$D$111</definedName>
    <definedName name="OSRRefD22_6x_0" localSheetId="59">'332'!$D$56:$D$57</definedName>
    <definedName name="OSRRefD22_6x_0" localSheetId="54">'333'!$D$113</definedName>
    <definedName name="OSRRefD22_6x_0" localSheetId="73">'405'!$D$47</definedName>
    <definedName name="OSRRefD22_6x_0" localSheetId="75">'411'!$D$44</definedName>
    <definedName name="OSRRefD22_6x_0" localSheetId="79">'415'!$D$47</definedName>
    <definedName name="OSRRefD22_6x_0" localSheetId="80">'418'!$D$44</definedName>
    <definedName name="OSRRefD22_6x_0" localSheetId="84">'425'!$D$39</definedName>
    <definedName name="OSRRefD22_6x_0" localSheetId="87">'430'!$D$40</definedName>
    <definedName name="OSRRefD22_6x_0" localSheetId="88">'433'!$D$49</definedName>
    <definedName name="OSRRefD22_6x_0" localSheetId="90">'444'!$D$49</definedName>
    <definedName name="OSRRefD22_6x_0" localSheetId="91">'450'!$D$49</definedName>
    <definedName name="OSRRefD22_6x_0" localSheetId="72">'491'!$D$51</definedName>
    <definedName name="OSRRefD22_6x_0" localSheetId="86">'492'!$D$50</definedName>
    <definedName name="OSRRefD22_6x_0" localSheetId="93">'501'!$D$47</definedName>
    <definedName name="OSRRefD22_6x_0" localSheetId="39">'Div 2'!$D$47</definedName>
    <definedName name="OSRRefD22_6x_0" localSheetId="47">'Div 3'!$D$159:$D$160</definedName>
    <definedName name="OSRRefD22_6x_0" localSheetId="70">'Div 4'!$D$54</definedName>
    <definedName name="OSRRefD22_6x_0" localSheetId="92">'Div 5'!$D$47</definedName>
    <definedName name="OSRRefD22_6x_0" localSheetId="61">'Div 6'!$D$79</definedName>
    <definedName name="OSRRefD22_6x_0" localSheetId="2">Summary!$D$186:$D$187</definedName>
    <definedName name="OSRRefD22_7x_0" localSheetId="41">'201'!$D$43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'300'!$D$157</definedName>
    <definedName name="OSRRefD22_7x_0" localSheetId="49">'300 &amp; 317'!$D$180</definedName>
    <definedName name="OSRRefD22_7x_0" localSheetId="50">'301'!$D$53</definedName>
    <definedName name="OSRRefD22_7x_0" localSheetId="55">'307'!$D$63</definedName>
    <definedName name="OSRRefD22_7x_0" localSheetId="51">'308'!$D$91</definedName>
    <definedName name="OSRRefD22_7x_0" localSheetId="64">'309'!$D$37:$D$38</definedName>
    <definedName name="OSRRefD22_7x_0" localSheetId="63">'310'!$D$57</definedName>
    <definedName name="OSRRefD22_7x_0" localSheetId="71">'310 &amp; 491'!$D$62</definedName>
    <definedName name="OSRRefD22_7x_0" localSheetId="52">'311'!$D$91</definedName>
    <definedName name="OSRRefD22_7x_0" localSheetId="65">'313'!$D$46</definedName>
    <definedName name="OSRRefD22_7x_0" localSheetId="57">'315'!$D$114:$D$115</definedName>
    <definedName name="OSRRefD22_7x_0" localSheetId="60">'316'!$D$57</definedName>
    <definedName name="OSRRefD22_7x_0" localSheetId="62">'317'!$D$81</definedName>
    <definedName name="OSRRefD22_7x_0" localSheetId="66">'321'!$D$50</definedName>
    <definedName name="OSRRefD22_7x_0" localSheetId="67">'322'!$D$40</definedName>
    <definedName name="OSRRefD22_7x_0" localSheetId="68">'325'!$D$48</definedName>
    <definedName name="OSRRefD22_7x_0" localSheetId="58">'326'!$D$76</definedName>
    <definedName name="OSRRefD22_7x_0" localSheetId="56">'331'!$D$113</definedName>
    <definedName name="OSRRefD22_7x_0" localSheetId="59">'332'!$D$59</definedName>
    <definedName name="OSRRefD22_7x_0" localSheetId="54">'333'!$D$115</definedName>
    <definedName name="OSRRefD22_7x_0" localSheetId="73">'405'!$D$49</definedName>
    <definedName name="OSRRefD22_7x_0" localSheetId="75">'411'!$D$46</definedName>
    <definedName name="OSRRefD22_7x_0" localSheetId="79">'415'!$D$49</definedName>
    <definedName name="OSRRefD22_7x_0" localSheetId="80">'418'!$D$46</definedName>
    <definedName name="OSRRefD22_7x_0" localSheetId="84">'425'!$D$41</definedName>
    <definedName name="OSRRefD22_7x_0" localSheetId="87">'430'!$D$42</definedName>
    <definedName name="OSRRefD22_7x_0" localSheetId="88">'433'!$D$51</definedName>
    <definedName name="OSRRefD22_7x_0" localSheetId="90">'444'!$D$51</definedName>
    <definedName name="OSRRefD22_7x_0" localSheetId="91">'450'!$D$51</definedName>
    <definedName name="OSRRefD22_7x_0" localSheetId="72">'491'!$D$53</definedName>
    <definedName name="OSRRefD22_7x_0" localSheetId="86">'492'!$D$52</definedName>
    <definedName name="OSRRefD22_7x_0" localSheetId="93">'501'!$D$49:$D$51</definedName>
    <definedName name="OSRRefD22_7x_0" localSheetId="39">'Div 2'!$D$49</definedName>
    <definedName name="OSRRefD22_7x_0" localSheetId="47">'Div 3'!$D$162</definedName>
    <definedName name="OSRRefD22_7x_0" localSheetId="70">'Div 4'!$D$56</definedName>
    <definedName name="OSRRefD22_7x_0" localSheetId="92">'Div 5'!$D$49:$D$51</definedName>
    <definedName name="OSRRefD22_7x_0" localSheetId="61">'Div 6'!$D$81</definedName>
    <definedName name="OSRRefD22_7x_0" localSheetId="2">Summary!$D$189</definedName>
    <definedName name="OSRRefD22_8x_0" localSheetId="41">'201'!$D$45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'300'!$D$159</definedName>
    <definedName name="OSRRefD22_8x_0" localSheetId="49">'300 &amp; 317'!$D$182</definedName>
    <definedName name="OSRRefD22_8x_0" localSheetId="50">'301'!$D$55</definedName>
    <definedName name="OSRRefD22_8x_0" localSheetId="55">'307'!$D$65:$D$66</definedName>
    <definedName name="OSRRefD22_8x_0" localSheetId="51">'308'!$D$93</definedName>
    <definedName name="OSRRefD22_8x_0" localSheetId="64">'309'!$D$40</definedName>
    <definedName name="OSRRefD22_8x_0" localSheetId="63">'310'!$D$59</definedName>
    <definedName name="OSRRefD22_8x_0" localSheetId="71">'310 &amp; 491'!$D$64:$D$65</definedName>
    <definedName name="OSRRefD22_8x_0" localSheetId="52">'311'!$D$93</definedName>
    <definedName name="OSRRefD22_8x_0" localSheetId="57">'315'!$D$117</definedName>
    <definedName name="OSRRefD22_8x_0" localSheetId="60">'316'!$D$59:$D$61</definedName>
    <definedName name="OSRRefD22_8x_0" localSheetId="62">'317'!$D$83:$D$85</definedName>
    <definedName name="OSRRefD22_8x_0" localSheetId="66">'321'!$D$52:$D$53</definedName>
    <definedName name="OSRRefD22_8x_0" localSheetId="68">'325'!$D$50</definedName>
    <definedName name="OSRRefD22_8x_0" localSheetId="58">'326'!$D$78</definedName>
    <definedName name="OSRRefD22_8x_0" localSheetId="56">'331'!$D$115:$D$116</definedName>
    <definedName name="OSRRefD22_8x_0" localSheetId="59">'332'!$D$61:$D$63</definedName>
    <definedName name="OSRRefD22_8x_0" localSheetId="54">'333'!$D$117:$D$118</definedName>
    <definedName name="OSRRefD22_8x_0" localSheetId="73">'405'!$D$51</definedName>
    <definedName name="OSRRefD22_8x_0" localSheetId="75">'411'!$D$48</definedName>
    <definedName name="OSRRefD22_8x_0" localSheetId="79">'415'!$D$51</definedName>
    <definedName name="OSRRefD22_8x_0" localSheetId="80">'418'!$D$48:$D$49</definedName>
    <definedName name="OSRRefD22_8x_0" localSheetId="84">'425'!$D$43</definedName>
    <definedName name="OSRRefD22_8x_0" localSheetId="87">'430'!$D$44</definedName>
    <definedName name="OSRRefD22_8x_0" localSheetId="88">'433'!$D$53</definedName>
    <definedName name="OSRRefD22_8x_0" localSheetId="90">'444'!$D$53</definedName>
    <definedName name="OSRRefD22_8x_0" localSheetId="91">'450'!$D$53</definedName>
    <definedName name="OSRRefD22_8x_0" localSheetId="72">'491'!$D$55</definedName>
    <definedName name="OSRRefD22_8x_0" localSheetId="86">'492'!$D$54</definedName>
    <definedName name="OSRRefD22_8x_0" localSheetId="93">'501'!$D$53:$D$54</definedName>
    <definedName name="OSRRefD22_8x_0" localSheetId="39">'Div 2'!$D$51</definedName>
    <definedName name="OSRRefD22_8x_0" localSheetId="47">'Div 3'!$D$164</definedName>
    <definedName name="OSRRefD22_8x_0" localSheetId="70">'Div 4'!$D$58</definedName>
    <definedName name="OSRRefD22_8x_0" localSheetId="92">'Div 5'!$D$53:$D$54</definedName>
    <definedName name="OSRRefD22_8x_0" localSheetId="61">'Div 6'!$D$83:$D$85</definedName>
    <definedName name="OSRRefD22_8x_0" localSheetId="2">Summary!$D$191</definedName>
    <definedName name="OSRRefD22_9x_0" localSheetId="41">'201'!$D$47:$D$49</definedName>
    <definedName name="OSRRefD22_9x_0" localSheetId="42">'202'!$D$50:$D$51</definedName>
    <definedName name="OSRRefD22_9x_0" localSheetId="43">'203'!$D$53</definedName>
    <definedName name="OSRRefD22_9x_0" localSheetId="44">'204'!$D$52</definedName>
    <definedName name="OSRRefD22_9x_0" localSheetId="48">'300'!$D$161</definedName>
    <definedName name="OSRRefD22_9x_0" localSheetId="49">'300 &amp; 317'!$D$184</definedName>
    <definedName name="OSRRefD22_9x_0" localSheetId="50">'301'!$D$57</definedName>
    <definedName name="OSRRefD22_9x_0" localSheetId="55">'307'!$D$68:$D$69</definedName>
    <definedName name="OSRRefD22_9x_0" localSheetId="51">'308'!$D$95:$D$97</definedName>
    <definedName name="OSRRefD22_9x_0" localSheetId="63">'310'!$D$61</definedName>
    <definedName name="OSRRefD22_9x_0" localSheetId="71">'310 &amp; 491'!$D$67</definedName>
    <definedName name="OSRRefD22_9x_0" localSheetId="52">'311'!$D$95:$D$97</definedName>
    <definedName name="OSRRefD22_9x_0" localSheetId="57">'315'!$D$119:$D$120</definedName>
    <definedName name="OSRRefD22_9x_0" localSheetId="60">'316'!$D$63</definedName>
    <definedName name="OSRRefD22_9x_0" localSheetId="62">'317'!$D$87</definedName>
    <definedName name="OSRRefD22_9x_0" localSheetId="66">'321'!$D$55:$D$59</definedName>
    <definedName name="OSRRefD22_9x_0" localSheetId="68">'325'!$D$52</definedName>
    <definedName name="OSRRefD22_9x_0" localSheetId="58">'326'!$D$80</definedName>
    <definedName name="OSRRefD22_9x_0" localSheetId="56">'331'!$D$118</definedName>
    <definedName name="OSRRefD22_9x_0" localSheetId="59">'332'!$D$65</definedName>
    <definedName name="OSRRefD22_9x_0" localSheetId="54">'333'!$D$120</definedName>
    <definedName name="OSRRefD22_9x_0" localSheetId="73">'405'!$D$53</definedName>
    <definedName name="OSRRefD22_9x_0" localSheetId="75">'411'!$D$50:$D$52</definedName>
    <definedName name="OSRRefD22_9x_0" localSheetId="79">'415'!$D$53</definedName>
    <definedName name="OSRRefD22_9x_0" localSheetId="80">'418'!$D$51</definedName>
    <definedName name="OSRRefD22_9x_0" localSheetId="88">'433'!$D$55</definedName>
    <definedName name="OSRRefD22_9x_0" localSheetId="90">'444'!$D$55</definedName>
    <definedName name="OSRRefD22_9x_0" localSheetId="91">'450'!$D$55</definedName>
    <definedName name="OSRRefD22_9x_0" localSheetId="72">'491'!$D$57</definedName>
    <definedName name="OSRRefD22_9x_0" localSheetId="86">'492'!$D$56</definedName>
    <definedName name="OSRRefD22_9x_0" localSheetId="93">'501'!$D$56</definedName>
    <definedName name="OSRRefD22_9x_0" localSheetId="39">'Div 2'!$D$53:$D$54</definedName>
    <definedName name="OSRRefD22_9x_0" localSheetId="47">'Div 3'!$D$166</definedName>
    <definedName name="OSRRefD22_9x_0" localSheetId="70">'Div 4'!$D$60</definedName>
    <definedName name="OSRRefD22_9x_0" localSheetId="92">'Div 5'!$D$56</definedName>
    <definedName name="OSRRefD22_9x_0" localSheetId="61">'Div 6'!$D$87</definedName>
    <definedName name="OSRRefD22_9x_0" localSheetId="2">Summary!$D$193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'201'!$D$20:$D$27,'201'!$D$29:$D$31,'201'!$D$33,'201'!$D$35,'201'!$D$37,'201'!$D$39,'201'!$D$41,'201'!$D$43,'201'!$D$45,'201'!$D$47:$D$49,'201'!$D$51:$D$52,'201'!$D$54,'201'!$D$56:$D$57,'201'!$D$59,'201'!$D$61</definedName>
    <definedName name="OSRRefD22x_0" localSheetId="42">'202'!$D$20:$D$27,'202'!$D$29:$D$31,'202'!$D$33,'202'!$D$35,'202'!$D$37,'202'!$D$39:$D$40,'202'!$D$42,'202'!$D$44:$D$46,'202'!$D$48,'202'!$D$50:$D$51,'202'!$D$53,'202'!$D$55,'202'!$D$57</definedName>
    <definedName name="OSRRefD22x_0" localSheetId="43">'203'!$D$20:$D$29,'203'!$D$31:$D$35,'203'!$D$37,'203'!$D$39,'203'!$D$41,'203'!$D$43,'203'!$D$45,'203'!$D$47:$D$48,'203'!$D$50:$D$51,'203'!$D$53,'203'!$D$55:$D$58,'203'!$D$60,'203'!$D$62,'203'!$D$64</definedName>
    <definedName name="OSRRefD22x_0" localSheetId="44">'204'!$D$20:$D$28,'204'!$D$30:$D$32,'204'!$D$34,'204'!$D$36,'204'!$D$38,'204'!$D$40:$D$43,'204'!$D$45,'204'!$D$47:$D$48,'204'!$D$50,'204'!$D$52</definedName>
    <definedName name="OSRRefD22x_0" localSheetId="45">'205'!$D$20:$D$27,'205'!$D$29,'205'!$D$31,'205'!$D$33,'205'!$D$35:$D$36,'205'!$D$38:$D$40,'205'!$D$42</definedName>
    <definedName name="OSRRefD22x_0" localSheetId="46">'206'!$D$20:$D$27,'206'!$D$29:$D$31,'206'!$D$33,'206'!$D$35,'206'!$D$37,'206'!$D$39,'206'!$D$41</definedName>
    <definedName name="OSRRefD22x_0" localSheetId="48">'300'!$D$125:$D$134,'300'!$D$136:$D$142,'300'!$D$144,'300'!$D$146:$D$147,'300'!$D$149,'300'!$D$151:$D$152,'300'!$D$154:$D$155,'300'!$D$157,'300'!$D$159,'300'!$D$161,'300'!$D$163:$D$164,'300'!$D$166,'300'!$D$168,'300'!$D$170:$D$171,'300'!$D$173,'300'!$D$175,'300'!$D$177:$D$180,'300'!$D$182:$D$184,'300'!$D$186:$D$189,'300'!$D$191:$D$192,'300'!$D$194:$D$200,'300'!$D$202:$D$203,'300'!$D$205,'300'!$D$207:$D$209,'300'!$D$211</definedName>
    <definedName name="OSRRefD22x_0" localSheetId="49">'300 &amp; 317'!$D$148:$D$157,'300 &amp; 317'!$D$159:$D$165,'300 &amp; 317'!$D$167,'300 &amp; 317'!$D$169:$D$170,'300 &amp; 317'!$D$172,'300 &amp; 317'!$D$174:$D$175,'300 &amp; 317'!$D$177:$D$178,'300 &amp; 317'!$D$180,'300 &amp; 317'!$D$182,'300 &amp; 317'!$D$184,'300 &amp; 317'!$D$186:$D$187,'300 &amp; 317'!$D$189,'300 &amp; 317'!$D$191,'300 &amp; 317'!$D$193:$D$194,'300 &amp; 317'!$D$196,'300 &amp; 317'!$D$198,'300 &amp; 317'!$D$200:$D$203,'300 &amp; 317'!$D$205:$D$207,'300 &amp; 317'!$D$209:$D$212,'300 &amp; 317'!$D$214:$D$215,'300 &amp; 317'!$D$217:$D$223,'300 &amp; 317'!$D$225:$D$226,'300 &amp; 317'!$D$228,'300 &amp; 317'!$D$230:$D$232,'300 &amp; 317'!$D$234</definedName>
    <definedName name="OSRRefD22x_0" localSheetId="50">'301'!$D$21:$D$30,'301'!$D$32:$D$38,'301'!$D$40,'301'!$D$42:$D$43,'301'!$D$45,'301'!$D$47:$D$48,'301'!$D$50:$D$51,'301'!$D$53,'301'!$D$55,'301'!$D$57,'301'!$D$59,'301'!$D$61,'301'!$D$63,'301'!$D$65,'301'!$D$67,'301'!$D$69:$D$72,'301'!$D$74:$D$76,'301'!$D$78,'301'!$D$80:$D$85,'301'!$D$87,'301'!$D$89,'301'!$D$91:$D$92,'301'!$D$94</definedName>
    <definedName name="OSRRefD22x_0" localSheetId="55">'307'!$D$43:$D$45,'307'!$D$47:$D$50,'307'!$D$52,'307'!$D$54,'307'!$D$56:$D$57,'307'!$D$59,'307'!$D$61,'307'!$D$63,'307'!$D$65:$D$66,'307'!$D$68:$D$69,'307'!$D$71:$D$74,'307'!$D$76,'307'!$D$78</definedName>
    <definedName name="OSRRefD22x_0" localSheetId="51">'308'!$D$61:$D$69,'308'!$D$71:$D$77,'308'!$D$79,'308'!$D$81:$D$82,'308'!$D$84,'308'!$D$86,'308'!$D$88:$D$89,'308'!$D$91,'308'!$D$93,'308'!$D$95:$D$97,'308'!$D$99:$D$100,'308'!$D$102:$D$103,'308'!$D$105:$D$106,'308'!$D$108</definedName>
    <definedName name="OSRRefD22x_0" localSheetId="64">'309'!$D$21,'309'!$D$23,'309'!$D$25,'309'!$D$27,'309'!$D$29,'309'!$D$31:$D$32,'309'!$D$34:$D$35,'309'!$D$37:$D$38,'309'!$D$40</definedName>
    <definedName name="OSRRefD22x_0" localSheetId="63">'310'!$D$31:$D$39,'310'!$D$41:$D$44,'310'!$D$46,'310'!$D$48,'310'!$D$50,'310'!$D$52:$D$53,'310'!$D$55,'310'!$D$57,'310'!$D$59,'310'!$D$61,'310'!$D$63,'310'!$D$65:$D$66,'310'!$D$68,'310'!$D$70:$D$73,'310'!$D$75:$D$80,'310'!$D$82,'310'!$D$84</definedName>
    <definedName name="OSRRefD22x_0" localSheetId="71">'310 &amp; 491'!$D$35:$D$43,'310 &amp; 491'!$D$45:$D$49,'310 &amp; 491'!$D$51,'310 &amp; 491'!$D$53,'310 &amp; 491'!$D$55,'310 &amp; 491'!$D$57:$D$58,'310 &amp; 491'!$D$60,'310 &amp; 491'!$D$62,'310 &amp; 491'!$D$64:$D$65,'310 &amp; 491'!$D$67,'310 &amp; 491'!$D$69,'310 &amp; 491'!$D$71,'310 &amp; 491'!$D$73,'310 &amp; 491'!$D$75:$D$77,'310 &amp; 491'!$D$79,'310 &amp; 491'!$D$81:$D$84,'310 &amp; 491'!$D$86,'310 &amp; 491'!$D$88:$D$96,'310 &amp; 491'!$D$98,'310 &amp; 491'!$D$100,'310 &amp; 491'!$D$102:$D$103,'310 &amp; 491'!$D$105</definedName>
    <definedName name="OSRRefD22x_0" localSheetId="52">'311'!$D$61:$D$69,'311'!$D$71:$D$77,'311'!$D$79,'311'!$D$81:$D$82,'311'!$D$84,'311'!$D$86,'311'!$D$88:$D$89,'311'!$D$91,'311'!$D$93,'311'!$D$95:$D$97,'311'!$D$99:$D$100,'311'!$D$102:$D$103,'311'!$D$105:$D$106,'311'!$D$108</definedName>
    <definedName name="OSRRefD22x_0" localSheetId="65">'313'!$D$25:$D$32,'313'!$D$34,'313'!$D$36,'313'!$D$38,'313'!$D$40,'313'!$D$42,'313'!$D$44,'313'!$D$46</definedName>
    <definedName name="OSRRefD22x_0" localSheetId="57">'315'!$D$87:$D$94,'315'!$D$96:$D$100,'315'!$D$102,'315'!$D$104:$D$105,'315'!$D$107,'315'!$D$109,'315'!$D$111:$D$112,'315'!$D$114:$D$115,'315'!$D$117,'315'!$D$119:$D$120,'315'!$D$122:$D$123,'315'!$D$125:$D$126,'315'!$D$128:$D$132,'315'!$D$134,'315'!$D$136</definedName>
    <definedName name="OSRRefD22x_0" localSheetId="60">'316'!$D$33:$D$40,'316'!$D$42:$D$44,'316'!$D$46,'316'!$D$48,'316'!$D$50,'316'!$D$52,'316'!$D$54:$D$55,'316'!$D$57,'316'!$D$59:$D$61,'316'!$D$63,'316'!$D$65:$D$69,'316'!$D$71,'316'!$D$73</definedName>
    <definedName name="OSRRefD22x_0" localSheetId="62">'317'!$D$54:$D$62,'317'!$D$64:$D$68,'317'!$D$70,'317'!$D$72,'317'!$D$74,'317'!$D$76:$D$77,'317'!$D$79,'317'!$D$81,'317'!$D$83:$D$85,'317'!$D$87,'317'!$D$89</definedName>
    <definedName name="OSRRefD22x_0" localSheetId="66">'321'!$D$24:$D$32,'321'!$D$34:$D$37,'321'!$D$39,'321'!$D$41,'321'!$D$43,'321'!$D$45,'321'!$D$47:$D$48,'321'!$D$50,'321'!$D$52:$D$53,'321'!$D$55:$D$59,'321'!$D$61,'321'!$D$63</definedName>
    <definedName name="OSRRefD22x_0" localSheetId="67">'322'!$D$21:$D$25,'322'!$D$27,'322'!$D$29,'322'!$D$31,'322'!$D$33:$D$34,'322'!$D$36,'322'!$D$38,'322'!$D$40</definedName>
    <definedName name="OSRRefD22x_0" localSheetId="68">'325'!$D$24:$D$31,'325'!$D$33:$D$35,'325'!$D$37,'325'!$D$39,'325'!$D$41,'325'!$D$43:$D$44,'325'!$D$46,'325'!$D$48,'325'!$D$50,'325'!$D$52,'325'!$D$54:$D$55,'325'!$D$57:$D$60,'325'!$D$62:$D$66,'325'!$D$68,'325'!$D$70</definedName>
    <definedName name="OSRRefD22x_0" localSheetId="58">'326'!$D$51:$D$58,'326'!$D$60:$D$64,'326'!$D$66,'326'!$D$68,'326'!$D$70,'326'!$D$72,'326'!$D$74,'326'!$D$76,'326'!$D$78,'326'!$D$80,'326'!$D$82,'326'!$D$84:$D$86,'326'!$D$88:$D$90,'326'!$D$92:$D$93,'326'!$D$95:$D$98,'326'!$D$100,'326'!$D$102,'326'!$D$104</definedName>
    <definedName name="OSRRefD22x_0" localSheetId="69">'327'!$D$24,'327'!$D$26</definedName>
    <definedName name="OSRRefD22x_0" localSheetId="56">'331'!$D$87:$D$94,'331'!$D$96:$D$100,'331'!$D$102,'331'!$D$104,'331'!$D$106,'331'!$D$108:$D$109,'331'!$D$111,'331'!$D$113,'331'!$D$115:$D$116,'331'!$D$118,'331'!$D$120,'331'!$D$122:$D$123,'331'!$D$125,'331'!$D$127,'331'!$D$129:$D$131,'331'!$D$133:$D$134,'331'!$D$136:$D$138,'331'!$D$140:$D$141,'331'!$D$143:$D$148,'331'!$D$150,'331'!$D$152,'331'!$D$154</definedName>
    <definedName name="OSRRefD22x_0" localSheetId="59">'332'!$D$35:$D$42,'332'!$D$44:$D$46,'332'!$D$48,'332'!$D$50,'332'!$D$52,'332'!$D$54,'332'!$D$56:$D$57,'332'!$D$59,'332'!$D$61:$D$63,'332'!$D$65,'332'!$D$67:$D$71,'332'!$D$73,'332'!$D$75</definedName>
    <definedName name="OSRRefD22x_0" localSheetId="54">'333'!$D$89:$D$96,'333'!$D$98:$D$102,'333'!$D$104,'333'!$D$106,'333'!$D$108,'333'!$D$110:$D$111,'333'!$D$113,'333'!$D$115,'333'!$D$117:$D$118,'333'!$D$120,'333'!$D$122,'333'!$D$124:$D$125,'333'!$D$127,'333'!$D$129,'333'!$D$131:$D$133,'333'!$D$135:$D$136,'333'!$D$138:$D$141,'333'!$D$143:$D$144,'333'!$D$146:$D$151,'333'!$D$153,'333'!$D$155,'333'!$D$157,'333'!$D$159</definedName>
    <definedName name="OSRRefD22x_0" localSheetId="73">'405'!$D$24:$D$31,'405'!$D$33:$D$36,'405'!$D$38,'405'!$D$40,'405'!$D$42,'405'!$D$44:$D$45,'405'!$D$47,'405'!$D$49,'405'!$D$51,'405'!$D$53,'405'!$D$55:$D$56,'405'!$D$58:$D$61,'405'!$D$63,'405'!$D$65:$D$72,'405'!$D$74,'405'!$D$76</definedName>
    <definedName name="OSRRefD22x_0" localSheetId="74">'406'!$D$20,'406'!$D$22,'406'!$D$24,'406'!$D$26,'406'!$D$28</definedName>
    <definedName name="OSRRefD22x_0" localSheetId="75">'411'!$D$20:$D$27,'411'!$D$29:$D$33,'411'!$D$35,'411'!$D$37:$D$38,'411'!$D$40,'411'!$D$42,'411'!$D$44,'411'!$D$46,'411'!$D$48,'411'!$D$50:$D$52,'411'!$D$54:$D$56,'411'!$D$58:$D$59,'411'!$D$61,'411'!$D$63:$D$64,'411'!$D$66</definedName>
    <definedName name="OSRRefD22x_0" localSheetId="76">'412'!$D$20,'412'!$D$22,'412'!$D$24:$D$25,'412'!$D$27,'412'!$D$29</definedName>
    <definedName name="OSRRefD22x_0" localSheetId="77">'413'!$D$20:$D$24,'413'!$D$26,'413'!$D$28,'413'!$D$30,'413'!$D$32,'413'!$D$34</definedName>
    <definedName name="OSRRefD22x_0" localSheetId="78">'414'!$D$21,'414'!$D$23,'414'!$D$25,'414'!$D$27,'414'!$D$29:$D$30</definedName>
    <definedName name="OSRRefD22x_0" localSheetId="79">'415'!$D$24:$D$31,'415'!$D$33:$D$36,'415'!$D$38,'415'!$D$40,'415'!$D$42,'415'!$D$44:$D$45,'415'!$D$47,'415'!$D$49,'415'!$D$51,'415'!$D$53,'415'!$D$55,'415'!$D$57:$D$58,'415'!$D$60:$D$63,'415'!$D$65,'415'!$D$67:$D$72,'415'!$D$74,'415'!$D$76,'415'!$D$78</definedName>
    <definedName name="OSRRefD22x_0" localSheetId="80">'418'!$D$21:$D$28,'418'!$D$30:$D$33,'418'!$D$35,'418'!$D$37,'418'!$D$39:$D$40,'418'!$D$42,'418'!$D$44,'418'!$D$46,'418'!$D$48:$D$49,'418'!$D$51,'418'!$D$53,'418'!$D$55:$D$59,'418'!$D$61</definedName>
    <definedName name="OSRRefD22x_0" localSheetId="81">'420'!$D$21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'425'!$D$22:$D$26,'425'!$D$28,'425'!$D$30,'425'!$D$32,'425'!$D$34,'425'!$D$36:$D$37,'425'!$D$39,'425'!$D$41,'425'!$D$43</definedName>
    <definedName name="OSRRefD22x_0" localSheetId="87">'430'!$D$20:$D$27,'430'!$D$29,'430'!$D$31,'430'!$D$33,'430'!$D$35,'430'!$D$37:$D$38,'430'!$D$40,'430'!$D$42,'430'!$D$44</definedName>
    <definedName name="OSRRefD22x_0" localSheetId="88">'433'!$D$25:$D$33,'433'!$D$35:$D$39,'433'!$D$41,'433'!$D$43,'433'!$D$45,'433'!$D$47,'433'!$D$49,'433'!$D$51,'433'!$D$53,'433'!$D$55,'433'!$D$57,'433'!$D$59:$D$60,'433'!$D$62:$D$64,'433'!$D$66:$D$73,'433'!$D$75</definedName>
    <definedName name="OSRRefD22x_0" localSheetId="89">'435'!$D$20,'435'!$D$22</definedName>
    <definedName name="OSRRefD22x_0" localSheetId="90">'444'!$D$25:$D$33,'444'!$D$35:$D$39,'444'!$D$41,'444'!$D$43,'444'!$D$45,'444'!$D$47,'444'!$D$49,'444'!$D$51,'444'!$D$53,'444'!$D$55,'444'!$D$57,'444'!$D$59:$D$60,'444'!$D$62:$D$65,'444'!$D$67,'444'!$D$69:$D$76,'444'!$D$78,'444'!$D$80</definedName>
    <definedName name="OSRRefD22x_0" localSheetId="91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2">'491'!$D$27:$D$34,'491'!$D$36:$D$40,'491'!$D$42,'491'!$D$44,'491'!$D$46,'491'!$D$48:$D$49,'491'!$D$51,'491'!$D$53,'491'!$D$55,'491'!$D$57,'491'!$D$59,'491'!$D$61,'491'!$D$63,'491'!$D$65:$D$67,'491'!$D$69,'491'!$D$71:$D$74,'491'!$D$76,'491'!$D$78:$D$86,'491'!$D$88,'491'!$D$90,'491'!$D$92:$D$93,'491'!$D$95</definedName>
    <definedName name="OSRRefD22x_0" localSheetId="86">'492'!$D$25:$D$33,'492'!$D$35:$D$40,'492'!$D$42,'492'!$D$44,'492'!$D$46,'492'!$D$48,'492'!$D$50,'492'!$D$52,'492'!$D$54,'492'!$D$56,'492'!$D$58,'492'!$D$60,'492'!$D$62:$D$64,'492'!$D$66:$D$69,'492'!$D$71,'492'!$D$73:$D$80,'492'!$D$82,'492'!$D$84,'492'!$D$86:$D$87</definedName>
    <definedName name="OSRRefD22x_0" localSheetId="93">'501'!$D$21:$D$29,'501'!$D$31:$D$36,'501'!$D$38,'501'!$D$40,'501'!$D$42:$D$43,'501'!$D$45,'501'!$D$47,'501'!$D$49:$D$51,'501'!$D$53:$D$54,'501'!$D$56,'501'!$D$58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2'!$D$71,'Div 2'!$D$73:$D$77,'Div 2'!$D$79:$D$80,'Div 2'!$D$82,'Div 2'!$D$84:$D$85</definedName>
    <definedName name="OSRRefD22x_0" localSheetId="47">'Div 3'!$D$130:$D$139,'Div 3'!$D$141:$D$147,'Div 3'!$D$149,'Div 3'!$D$151:$D$152,'Div 3'!$D$154,'Div 3'!$D$156:$D$157,'Div 3'!$D$159:$D$160,'Div 3'!$D$162,'Div 3'!$D$164,'Div 3'!$D$166,'Div 3'!$D$168:$D$169,'Div 3'!$D$171,'Div 3'!$D$173,'Div 3'!$D$175,'Div 3'!$D$177:$D$178,'Div 3'!$D$180,'Div 3'!$D$182,'Div 3'!$D$184:$D$187,'Div 3'!$D$189:$D$191,'Div 3'!$D$193:$D$197,'Div 3'!$D$199:$D$200,'Div 3'!$D$202:$D$208,'Div 3'!$D$210:$D$211,'Div 3'!$D$213,'Div 3'!$D$215:$D$217,'Div 3'!$D$219</definedName>
    <definedName name="OSRRefD22x_0" localSheetId="70">'Div 4'!$D$28:$D$36,'Div 4'!$D$38:$D$43,'Div 4'!$D$45,'Div 4'!$D$47,'Div 4'!$D$49,'Div 4'!$D$51:$D$52,'Div 4'!$D$54,'Div 4'!$D$56,'Div 4'!$D$58,'Div 4'!$D$60,'Div 4'!$D$62,'Div 4'!$D$64,'Div 4'!$D$66,'Div 4'!$D$68,'Div 4'!$D$70,'Div 4'!$D$72:$D$74,'Div 4'!$D$76,'Div 4'!$D$78:$D$81,'Div 4'!$D$83:$D$84,'Div 4'!$D$86:$D$94,'Div 4'!$D$96,'Div 4'!$D$98,'Div 4'!$D$100:$D$101,'Div 4'!$D$103</definedName>
    <definedName name="OSRRefD22x_0" localSheetId="92">'Div 5'!$D$21:$D$29,'Div 5'!$D$31:$D$36,'Div 5'!$D$38,'Div 5'!$D$40,'Div 5'!$D$42:$D$43,'Div 5'!$D$45,'Div 5'!$D$47,'Div 5'!$D$49:$D$51,'Div 5'!$D$53:$D$54,'Div 5'!$D$56,'Div 5'!$D$58</definedName>
    <definedName name="OSRRefD22x_0" localSheetId="61">'Div 6'!$D$54:$D$62,'Div 6'!$D$64:$D$68,'Div 6'!$D$70,'Div 6'!$D$72,'Div 6'!$D$74,'Div 6'!$D$76:$D$77,'Div 6'!$D$79,'Div 6'!$D$81,'Div 6'!$D$83:$D$85,'Div 6'!$D$87,'Div 6'!$D$89</definedName>
    <definedName name="OSRRefD22x_0" localSheetId="2">Summary!$D$157:$D$166,Summary!$D$168:$D$174,Summary!$D$176,Summary!$D$178:$D$179,Summary!$D$181,Summary!$D$183:$D$184,Summary!$D$186:$D$187,Summary!$D$189,Summary!$D$191,Summary!$D$193,Summary!$D$195:$D$196,Summary!$D$198,Summary!$D$200,Summary!$D$202,Summary!$D$204:$D$205,Summary!$D$207,Summary!$D$209,Summary!$D$211,Summary!$D$213:$D$216,Summary!$D$218:$D$220,Summary!$D$222:$D$226,Summary!$D$228:$D$229,Summary!$D$231:$D$239,Summary!$D$241:$D$242,Summary!$D$244,Summary!$D$246:$D$248,Summary!$D$250</definedName>
    <definedName name="OSRRefD25x_0" localSheetId="48">'300'!$D$214:$D$217</definedName>
    <definedName name="OSRRefD25x_0" localSheetId="49">'300 &amp; 317'!$D$237:$D$242</definedName>
    <definedName name="OSRRefD25x_0" localSheetId="50">'301'!$D$97</definedName>
    <definedName name="OSRRefD25x_0" localSheetId="51">'308'!$D$111:$D$113</definedName>
    <definedName name="OSRRefD25x_0" localSheetId="71">'310 &amp; 491'!$D$108:$D$110</definedName>
    <definedName name="OSRRefD25x_0" localSheetId="52">'311'!$D$111:$D$113</definedName>
    <definedName name="OSRRefD25x_0" localSheetId="57">'315'!$D$139:$D$140</definedName>
    <definedName name="OSRRefD25x_0" localSheetId="60">'316'!$D$76</definedName>
    <definedName name="OSRRefD25x_0" localSheetId="62">'317'!$D$92:$D$94</definedName>
    <definedName name="OSRRefD25x_0" localSheetId="56">'331'!$D$157:$D$158</definedName>
    <definedName name="OSRRefD25x_0" localSheetId="59">'332'!$D$78:$D$79</definedName>
    <definedName name="OSRRefD25x_0" localSheetId="54">'333'!$D$162:$D$163</definedName>
    <definedName name="OSRRefD25x_0" localSheetId="73">'405'!$D$79</definedName>
    <definedName name="OSRRefD25x_0" localSheetId="75">'411'!$D$69:$D$70</definedName>
    <definedName name="OSRRefD25x_0" localSheetId="79">'415'!$D$81</definedName>
    <definedName name="OSRRefD25x_0" localSheetId="80">'418'!$D$64</definedName>
    <definedName name="OSRRefD25x_0" localSheetId="82">'423'!$D$30</definedName>
    <definedName name="OSRRefD25x_0" localSheetId="85">'455'!$D$21:$D$22</definedName>
    <definedName name="OSRRefD25x_0" localSheetId="72">'491'!$D$98:$D$100</definedName>
    <definedName name="OSRRefD25x_0" localSheetId="93">'501'!$D$61</definedName>
    <definedName name="OSRRefD25x_0" localSheetId="47">'Div 3'!$D$222:$D$225</definedName>
    <definedName name="OSRRefD25x_0" localSheetId="70">'Div 4'!$D$106:$D$108</definedName>
    <definedName name="OSRRefD25x_0" localSheetId="92">'Div 5'!$D$61</definedName>
    <definedName name="OSRRefD25x_0" localSheetId="61">'Div 6'!$D$92:$D$94</definedName>
    <definedName name="OSRRefD25x_0" localSheetId="2">Summary!$D$253:$D$260</definedName>
    <definedName name="OSRRefH13x_0" localSheetId="48">'300'!$H$13:$H$77</definedName>
    <definedName name="OSRRefH13x_0" localSheetId="49">'300 &amp; 317'!$H$13:$H$91</definedName>
    <definedName name="OSRRefH13x_0" localSheetId="55">'307'!$H$13:$H$25</definedName>
    <definedName name="OSRRefH13x_0" localSheetId="51">'308'!$H$13:$H$36</definedName>
    <definedName name="OSRRefH13x_0" localSheetId="63">'310'!$H$13:$H$21</definedName>
    <definedName name="OSRRefH13x_0" localSheetId="71">'310 &amp; 491'!$H$13:$H$25</definedName>
    <definedName name="OSRRefH13x_0" localSheetId="52">'311'!$H$13:$H$36</definedName>
    <definedName name="OSRRefH13x_0" localSheetId="65">'313'!$H$13:$H$16</definedName>
    <definedName name="OSRRefH13x_0" localSheetId="57">'315'!$H$13:$H$54</definedName>
    <definedName name="OSRRefH13x_0" localSheetId="60">'316'!$H$13:$H$24</definedName>
    <definedName name="OSRRefH13x_0" localSheetId="62">'317'!$H$13:$H$33</definedName>
    <definedName name="OSRRefH13x_0" localSheetId="66">'321'!$H$13:$H$14</definedName>
    <definedName name="OSRRefH13x_0" localSheetId="53">'324'!$H$13:$H$16</definedName>
    <definedName name="OSRRefH13x_0" localSheetId="68">'325'!$H$13:$H$14</definedName>
    <definedName name="OSRRefH13x_0" localSheetId="58">'326'!$H$13:$H$36</definedName>
    <definedName name="OSRRefH13x_0" localSheetId="69">'327'!$H$13:$H$14</definedName>
    <definedName name="OSRRefH13x_0" localSheetId="56">'331'!$H$13:$H$54</definedName>
    <definedName name="OSRRefH13x_0" localSheetId="59">'332'!$H$13:$H$24</definedName>
    <definedName name="OSRRefH13x_0" localSheetId="54">'333'!$H$13:$H$56</definedName>
    <definedName name="OSRRefH13x_0" localSheetId="73">'405'!$H$13:$H$14</definedName>
    <definedName name="OSRRefH13x_0" localSheetId="78">'414'!$H$13</definedName>
    <definedName name="OSRRefH13x_0" localSheetId="79">'415'!$H$13:$H$14</definedName>
    <definedName name="OSRRefH13x_0" localSheetId="81">'420'!$H$13</definedName>
    <definedName name="OSRRefH13x_0" localSheetId="84">'425'!$H$13</definedName>
    <definedName name="OSRRefH13x_0" localSheetId="88">'433'!$H$13:$H$15</definedName>
    <definedName name="OSRRefH13x_0" localSheetId="90">'444'!$H$13:$H$15</definedName>
    <definedName name="OSRRefH13x_0" localSheetId="91">'450'!$H$13:$H$15</definedName>
    <definedName name="OSRRefH13x_0" localSheetId="72">'491'!$H$13:$H$17</definedName>
    <definedName name="OSRRefH13x_0" localSheetId="86">'492'!$H$13:$H$15</definedName>
    <definedName name="OSRRefH13x_0" localSheetId="93">'501'!$H$13</definedName>
    <definedName name="OSRRefH13x_0" localSheetId="47">'Div 3'!$H$13:$H$80</definedName>
    <definedName name="OSRRefH13x_0" localSheetId="70">'Div 4'!$H$13:$H$18</definedName>
    <definedName name="OSRRefH13x_0" localSheetId="92">'Div 5'!$H$13</definedName>
    <definedName name="OSRRefH13x_0" localSheetId="61">'Div 6'!$H$13:$H$33</definedName>
    <definedName name="OSRRefH13x_0" localSheetId="2">Summary!$H$13:$H$98</definedName>
    <definedName name="OSRRefH16x_0" localSheetId="48">'300'!$H$80:$H$119</definedName>
    <definedName name="OSRRefH16x_0" localSheetId="49">'300 &amp; 317'!$H$94:$H$142</definedName>
    <definedName name="OSRRefH16x_0" localSheetId="50">'301'!$H$15</definedName>
    <definedName name="OSRRefH16x_0" localSheetId="55">'307'!$H$28:$H$37</definedName>
    <definedName name="OSRRefH16x_0" localSheetId="51">'308'!$H$39:$H$55</definedName>
    <definedName name="OSRRefH16x_0" localSheetId="64">'309'!$H$15</definedName>
    <definedName name="OSRRefH16x_0" localSheetId="63">'310'!$H$24:$H$25</definedName>
    <definedName name="OSRRefH16x_0" localSheetId="71">'310 &amp; 491'!$H$28:$H$29</definedName>
    <definedName name="OSRRefH16x_0" localSheetId="52">'311'!$H$39:$H$55</definedName>
    <definedName name="OSRRefH16x_0" localSheetId="65">'313'!$H$19</definedName>
    <definedName name="OSRRefH16x_0" localSheetId="57">'315'!$H$57:$H$81</definedName>
    <definedName name="OSRRefH16x_0" localSheetId="60">'316'!$H$27</definedName>
    <definedName name="OSRRefH16x_0" localSheetId="62">'317'!$H$36:$H$48</definedName>
    <definedName name="OSRRefH16x_0" localSheetId="66">'321'!$H$17:$H$18</definedName>
    <definedName name="OSRRefH16x_0" localSheetId="67">'322'!$H$15</definedName>
    <definedName name="OSRRefH16x_0" localSheetId="53">'324'!$H$19:$H$21</definedName>
    <definedName name="OSRRefH16x_0" localSheetId="68">'325'!$H$17:$H$18</definedName>
    <definedName name="OSRRefH16x_0" localSheetId="58">'326'!$H$39:$H$45</definedName>
    <definedName name="OSRRefH16x_0" localSheetId="69">'327'!$H$17:$H$18</definedName>
    <definedName name="OSRRefH16x_0" localSheetId="56">'331'!$H$57:$H$81</definedName>
    <definedName name="OSRRefH16x_0" localSheetId="59">'332'!$H$27:$H$29</definedName>
    <definedName name="OSRRefH16x_0" localSheetId="54">'333'!$H$59:$H$83</definedName>
    <definedName name="OSRRefH16x_0" localSheetId="73">'405'!$H$17:$H$18</definedName>
    <definedName name="OSRRefH16x_0" localSheetId="79">'415'!$H$17:$H$18</definedName>
    <definedName name="OSRRefH16x_0" localSheetId="80">'418'!$H$15</definedName>
    <definedName name="OSRRefH16x_0" localSheetId="84">'425'!$H$16</definedName>
    <definedName name="OSRRefH16x_0" localSheetId="88">'433'!$H$18:$H$19</definedName>
    <definedName name="OSRRefH16x_0" localSheetId="90">'444'!$H$18:$H$19</definedName>
    <definedName name="OSRRefH16x_0" localSheetId="91">'450'!$H$18:$H$19</definedName>
    <definedName name="OSRRefH16x_0" localSheetId="72">'491'!$H$20:$H$21</definedName>
    <definedName name="OSRRefH16x_0" localSheetId="86">'492'!$H$18:$H$19</definedName>
    <definedName name="OSRRefH16x_0" localSheetId="47">'Div 3'!$H$83:$H$124</definedName>
    <definedName name="OSRRefH16x_0" localSheetId="70">'Div 4'!$H$21:$H$22</definedName>
    <definedName name="OSRRefH16x_0" localSheetId="61">'Div 6'!$H$36:$H$48</definedName>
    <definedName name="OSRRefH16x_0" localSheetId="2">Summary!$H$101:$H$151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'300'!$H$125:$H$134</definedName>
    <definedName name="OSRRefH22_0x_0" localSheetId="49">'300 &amp; 317'!$H$148:$H$157</definedName>
    <definedName name="OSRRefH22_0x_0" localSheetId="50">'301'!$H$21:$H$30</definedName>
    <definedName name="OSRRefH22_0x_0" localSheetId="55">'307'!$H$43:$H$45</definedName>
    <definedName name="OSRRefH22_0x_0" localSheetId="51">'308'!$H$61:$H$69</definedName>
    <definedName name="OSRRefH22_0x_0" localSheetId="64">'309'!$H$21</definedName>
    <definedName name="OSRRefH22_0x_0" localSheetId="63">'310'!$H$31:$H$39</definedName>
    <definedName name="OSRRefH22_0x_0" localSheetId="71">'310 &amp; 491'!$H$35:$H$43</definedName>
    <definedName name="OSRRefH22_0x_0" localSheetId="52">'311'!$H$61:$H$69</definedName>
    <definedName name="OSRRefH22_0x_0" localSheetId="65">'313'!$H$25:$H$32</definedName>
    <definedName name="OSRRefH22_0x_0" localSheetId="57">'315'!$H$87:$H$94</definedName>
    <definedName name="OSRRefH22_0x_0" localSheetId="60">'316'!$H$33:$H$40</definedName>
    <definedName name="OSRRefH22_0x_0" localSheetId="62">'317'!$H$54:$H$62</definedName>
    <definedName name="OSRRefH22_0x_0" localSheetId="66">'321'!$H$24:$H$32</definedName>
    <definedName name="OSRRefH22_0x_0" localSheetId="67">'322'!$H$21:$H$25</definedName>
    <definedName name="OSRRefH22_0x_0" localSheetId="68">'325'!$H$24:$H$31</definedName>
    <definedName name="OSRRefH22_0x_0" localSheetId="58">'326'!$H$51:$H$58</definedName>
    <definedName name="OSRRefH22_0x_0" localSheetId="69">'327'!$H$24</definedName>
    <definedName name="OSRRefH22_0x_0" localSheetId="56">'331'!$H$87:$H$94</definedName>
    <definedName name="OSRRefH22_0x_0" localSheetId="59">'332'!$H$35:$H$42</definedName>
    <definedName name="OSRRefH22_0x_0" localSheetId="54">'333'!$H$89:$H$96</definedName>
    <definedName name="OSRRefH22_0x_0" localSheetId="73">'405'!$H$24:$H$31</definedName>
    <definedName name="OSRRefH22_0x_0" localSheetId="74">'406'!$H$20</definedName>
    <definedName name="OSRRefH22_0x_0" localSheetId="75">'411'!$H$20:$H$27</definedName>
    <definedName name="OSRRefH22_0x_0" localSheetId="76">'412'!$H$20</definedName>
    <definedName name="OSRRefH22_0x_0" localSheetId="77">'413'!$H$20:$H$24</definedName>
    <definedName name="OSRRefH22_0x_0" localSheetId="78">'414'!$H$21</definedName>
    <definedName name="OSRRefH22_0x_0" localSheetId="79">'415'!$H$24:$H$31</definedName>
    <definedName name="OSRRefH22_0x_0" localSheetId="80">'418'!$H$21:$H$28</definedName>
    <definedName name="OSRRefH22_0x_0" localSheetId="81">'420'!$H$21</definedName>
    <definedName name="OSRRefH22_0x_0" localSheetId="82">'423'!$H$20:$H$21</definedName>
    <definedName name="OSRRefH22_0x_0" localSheetId="83">'424'!$H$20</definedName>
    <definedName name="OSRRefH22_0x_0" localSheetId="84">'425'!$H$22:$H$26</definedName>
    <definedName name="OSRRefH22_0x_0" localSheetId="87">'430'!$H$20:$H$27</definedName>
    <definedName name="OSRRefH22_0x_0" localSheetId="88">'433'!$H$25:$H$33</definedName>
    <definedName name="OSRRefH22_0x_0" localSheetId="89">'435'!$H$20</definedName>
    <definedName name="OSRRefH22_0x_0" localSheetId="90">'444'!$H$25:$H$33</definedName>
    <definedName name="OSRRefH22_0x_0" localSheetId="91">'450'!$H$25:$H$33</definedName>
    <definedName name="OSRRefH22_0x_0" localSheetId="72">'491'!$H$27:$H$34</definedName>
    <definedName name="OSRRefH22_0x_0" localSheetId="86">'492'!$H$25:$H$33</definedName>
    <definedName name="OSRRefH22_0x_0" localSheetId="93">'501'!$H$21:$H$29</definedName>
    <definedName name="OSRRefH22_0x_0" localSheetId="39">'Div 2'!$H$20:$H$30</definedName>
    <definedName name="OSRRefH22_0x_0" localSheetId="47">'Div 3'!$H$130:$H$139</definedName>
    <definedName name="OSRRefH22_0x_0" localSheetId="70">'Div 4'!$H$28:$H$36</definedName>
    <definedName name="OSRRefH22_0x_0" localSheetId="92">'Div 5'!$H$21:$H$29</definedName>
    <definedName name="OSRRefH22_0x_0" localSheetId="61">'Div 6'!$H$54:$H$62</definedName>
    <definedName name="OSRRefH22_0x_0" localSheetId="2">Summary!$H$157:$H$166</definedName>
    <definedName name="OSRRefH22_10x_0" localSheetId="41">'201'!$H$51:$H$52</definedName>
    <definedName name="OSRRefH22_10x_0" localSheetId="42">'202'!$H$53</definedName>
    <definedName name="OSRRefH22_10x_0" localSheetId="43">'203'!$H$55:$H$58</definedName>
    <definedName name="OSRRefH22_10x_0" localSheetId="48">'300'!$H$163:$H$164</definedName>
    <definedName name="OSRRefH22_10x_0" localSheetId="49">'300 &amp; 317'!$H$186:$H$187</definedName>
    <definedName name="OSRRefH22_10x_0" localSheetId="50">'301'!$H$59</definedName>
    <definedName name="OSRRefH22_10x_0" localSheetId="55">'307'!$H$71:$H$74</definedName>
    <definedName name="OSRRefH22_10x_0" localSheetId="51">'308'!$H$99:$H$100</definedName>
    <definedName name="OSRRefH22_10x_0" localSheetId="63">'310'!$H$63</definedName>
    <definedName name="OSRRefH22_10x_0" localSheetId="71">'310 &amp; 491'!$H$69</definedName>
    <definedName name="OSRRefH22_10x_0" localSheetId="52">'311'!$H$99:$H$100</definedName>
    <definedName name="OSRRefH22_10x_0" localSheetId="57">'315'!$H$122:$H$123</definedName>
    <definedName name="OSRRefH22_10x_0" localSheetId="60">'316'!$H$65:$H$69</definedName>
    <definedName name="OSRRefH22_10x_0" localSheetId="62">'317'!$H$89</definedName>
    <definedName name="OSRRefH22_10x_0" localSheetId="66">'321'!$H$61</definedName>
    <definedName name="OSRRefH22_10x_0" localSheetId="68">'325'!$H$54:$H$55</definedName>
    <definedName name="OSRRefH22_10x_0" localSheetId="58">'326'!$H$82</definedName>
    <definedName name="OSRRefH22_10x_0" localSheetId="56">'331'!$H$120</definedName>
    <definedName name="OSRRefH22_10x_0" localSheetId="59">'332'!$H$67:$H$71</definedName>
    <definedName name="OSRRefH22_10x_0" localSheetId="54">'333'!$H$122</definedName>
    <definedName name="OSRRefH22_10x_0" localSheetId="73">'405'!$H$55:$H$56</definedName>
    <definedName name="OSRRefH22_10x_0" localSheetId="75">'411'!$H$54:$H$56</definedName>
    <definedName name="OSRRefH22_10x_0" localSheetId="79">'415'!$H$55</definedName>
    <definedName name="OSRRefH22_10x_0" localSheetId="80">'418'!$H$53</definedName>
    <definedName name="OSRRefH22_10x_0" localSheetId="88">'433'!$H$57</definedName>
    <definedName name="OSRRefH22_10x_0" localSheetId="90">'444'!$H$57</definedName>
    <definedName name="OSRRefH22_10x_0" localSheetId="91">'450'!$H$57</definedName>
    <definedName name="OSRRefH22_10x_0" localSheetId="72">'491'!$H$59</definedName>
    <definedName name="OSRRefH22_10x_0" localSheetId="86">'492'!$H$58</definedName>
    <definedName name="OSRRefH22_10x_0" localSheetId="93">'501'!$H$58</definedName>
    <definedName name="OSRRefH22_10x_0" localSheetId="39">'Div 2'!$H$56</definedName>
    <definedName name="OSRRefH22_10x_0" localSheetId="47">'Div 3'!$H$168:$H$169</definedName>
    <definedName name="OSRRefH22_10x_0" localSheetId="70">'Div 4'!$H$62</definedName>
    <definedName name="OSRRefH22_10x_0" localSheetId="92">'Div 5'!$H$58</definedName>
    <definedName name="OSRRefH22_10x_0" localSheetId="61">'Div 6'!$H$89</definedName>
    <definedName name="OSRRefH22_10x_0" localSheetId="2">Summary!$H$195:$H$196</definedName>
    <definedName name="OSRRefH22_11x_0" localSheetId="41">'201'!$H$54</definedName>
    <definedName name="OSRRefH22_11x_0" localSheetId="42">'202'!$H$55</definedName>
    <definedName name="OSRRefH22_11x_0" localSheetId="43">'203'!$H$60</definedName>
    <definedName name="OSRRefH22_11x_0" localSheetId="48">'300'!$H$166</definedName>
    <definedName name="OSRRefH22_11x_0" localSheetId="49">'300 &amp; 317'!$H$189</definedName>
    <definedName name="OSRRefH22_11x_0" localSheetId="50">'301'!$H$61</definedName>
    <definedName name="OSRRefH22_11x_0" localSheetId="55">'307'!$H$76</definedName>
    <definedName name="OSRRefH22_11x_0" localSheetId="51">'308'!$H$102:$H$103</definedName>
    <definedName name="OSRRefH22_11x_0" localSheetId="63">'310'!$H$65:$H$66</definedName>
    <definedName name="OSRRefH22_11x_0" localSheetId="71">'310 &amp; 491'!$H$71</definedName>
    <definedName name="OSRRefH22_11x_0" localSheetId="52">'311'!$H$102:$H$103</definedName>
    <definedName name="OSRRefH22_11x_0" localSheetId="57">'315'!$H$125:$H$126</definedName>
    <definedName name="OSRRefH22_11x_0" localSheetId="60">'316'!$H$71</definedName>
    <definedName name="OSRRefH22_11x_0" localSheetId="66">'321'!$H$63</definedName>
    <definedName name="OSRRefH22_11x_0" localSheetId="68">'325'!$H$57:$H$60</definedName>
    <definedName name="OSRRefH22_11x_0" localSheetId="58">'326'!$H$84:$H$86</definedName>
    <definedName name="OSRRefH22_11x_0" localSheetId="56">'331'!$H$122:$H$123</definedName>
    <definedName name="OSRRefH22_11x_0" localSheetId="59">'332'!$H$73</definedName>
    <definedName name="OSRRefH22_11x_0" localSheetId="54">'333'!$H$124:$H$125</definedName>
    <definedName name="OSRRefH22_11x_0" localSheetId="73">'405'!$H$58:$H$61</definedName>
    <definedName name="OSRRefH22_11x_0" localSheetId="75">'411'!$H$58:$H$59</definedName>
    <definedName name="OSRRefH22_11x_0" localSheetId="79">'415'!$H$57:$H$58</definedName>
    <definedName name="OSRRefH22_11x_0" localSheetId="80">'418'!$H$55:$H$59</definedName>
    <definedName name="OSRRefH22_11x_0" localSheetId="88">'433'!$H$59:$H$60</definedName>
    <definedName name="OSRRefH22_11x_0" localSheetId="90">'444'!$H$59:$H$60</definedName>
    <definedName name="OSRRefH22_11x_0" localSheetId="91">'450'!$H$59</definedName>
    <definedName name="OSRRefH22_11x_0" localSheetId="72">'491'!$H$61</definedName>
    <definedName name="OSRRefH22_11x_0" localSheetId="86">'492'!$H$60</definedName>
    <definedName name="OSRRefH22_11x_0" localSheetId="39">'Div 2'!$H$58</definedName>
    <definedName name="OSRRefH22_11x_0" localSheetId="47">'Div 3'!$H$171</definedName>
    <definedName name="OSRRefH22_11x_0" localSheetId="70">'Div 4'!$H$64</definedName>
    <definedName name="OSRRefH22_11x_0" localSheetId="2">Summary!$H$198</definedName>
    <definedName name="OSRRefH22_12x_0" localSheetId="41">'201'!$H$56:$H$57</definedName>
    <definedName name="OSRRefH22_12x_0" localSheetId="42">'202'!$H$57</definedName>
    <definedName name="OSRRefH22_12x_0" localSheetId="43">'203'!$H$62</definedName>
    <definedName name="OSRRefH22_12x_0" localSheetId="48">'300'!$H$168</definedName>
    <definedName name="OSRRefH22_12x_0" localSheetId="49">'300 &amp; 317'!$H$191</definedName>
    <definedName name="OSRRefH22_12x_0" localSheetId="50">'301'!$H$63</definedName>
    <definedName name="OSRRefH22_12x_0" localSheetId="55">'307'!$H$78</definedName>
    <definedName name="OSRRefH22_12x_0" localSheetId="51">'308'!$H$105:$H$106</definedName>
    <definedName name="OSRRefH22_12x_0" localSheetId="63">'310'!$H$68</definedName>
    <definedName name="OSRRefH22_12x_0" localSheetId="71">'310 &amp; 491'!$H$73</definedName>
    <definedName name="OSRRefH22_12x_0" localSheetId="52">'311'!$H$105:$H$106</definedName>
    <definedName name="OSRRefH22_12x_0" localSheetId="57">'315'!$H$128:$H$132</definedName>
    <definedName name="OSRRefH22_12x_0" localSheetId="60">'316'!$H$73</definedName>
    <definedName name="OSRRefH22_12x_0" localSheetId="68">'325'!$H$62:$H$66</definedName>
    <definedName name="OSRRefH22_12x_0" localSheetId="58">'326'!$H$88:$H$90</definedName>
    <definedName name="OSRRefH22_12x_0" localSheetId="56">'331'!$H$125</definedName>
    <definedName name="OSRRefH22_12x_0" localSheetId="59">'332'!$H$75</definedName>
    <definedName name="OSRRefH22_12x_0" localSheetId="54">'333'!$H$127</definedName>
    <definedName name="OSRRefH22_12x_0" localSheetId="73">'405'!$H$63</definedName>
    <definedName name="OSRRefH22_12x_0" localSheetId="75">'411'!$H$61</definedName>
    <definedName name="OSRRefH22_12x_0" localSheetId="79">'415'!$H$60:$H$63</definedName>
    <definedName name="OSRRefH22_12x_0" localSheetId="80">'418'!$H$61</definedName>
    <definedName name="OSRRefH22_12x_0" localSheetId="88">'433'!$H$62:$H$64</definedName>
    <definedName name="OSRRefH22_12x_0" localSheetId="90">'444'!$H$62:$H$65</definedName>
    <definedName name="OSRRefH22_12x_0" localSheetId="91">'450'!$H$61:$H$62</definedName>
    <definedName name="OSRRefH22_12x_0" localSheetId="72">'491'!$H$63</definedName>
    <definedName name="OSRRefH22_12x_0" localSheetId="86">'492'!$H$62:$H$64</definedName>
    <definedName name="OSRRefH22_12x_0" localSheetId="39">'Div 2'!$H$60:$H$62</definedName>
    <definedName name="OSRRefH22_12x_0" localSheetId="47">'Div 3'!$H$173</definedName>
    <definedName name="OSRRefH22_12x_0" localSheetId="70">'Div 4'!$H$66</definedName>
    <definedName name="OSRRefH22_12x_0" localSheetId="2">Summary!$H$200</definedName>
    <definedName name="OSRRefH22_13x_0" localSheetId="41">'201'!$H$59</definedName>
    <definedName name="OSRRefH22_13x_0" localSheetId="43">'203'!$H$64</definedName>
    <definedName name="OSRRefH22_13x_0" localSheetId="48">'300'!$H$170:$H$171</definedName>
    <definedName name="OSRRefH22_13x_0" localSheetId="49">'300 &amp; 317'!$H$193:$H$194</definedName>
    <definedName name="OSRRefH22_13x_0" localSheetId="50">'301'!$H$65</definedName>
    <definedName name="OSRRefH22_13x_0" localSheetId="51">'308'!$H$108</definedName>
    <definedName name="OSRRefH22_13x_0" localSheetId="63">'310'!$H$70:$H$73</definedName>
    <definedName name="OSRRefH22_13x_0" localSheetId="71">'310 &amp; 491'!$H$75:$H$77</definedName>
    <definedName name="OSRRefH22_13x_0" localSheetId="52">'311'!$H$108</definedName>
    <definedName name="OSRRefH22_13x_0" localSheetId="57">'315'!$H$134</definedName>
    <definedName name="OSRRefH22_13x_0" localSheetId="68">'325'!$H$68</definedName>
    <definedName name="OSRRefH22_13x_0" localSheetId="58">'326'!$H$92:$H$93</definedName>
    <definedName name="OSRRefH22_13x_0" localSheetId="56">'331'!$H$127</definedName>
    <definedName name="OSRRefH22_13x_0" localSheetId="54">'333'!$H$129</definedName>
    <definedName name="OSRRefH22_13x_0" localSheetId="73">'405'!$H$65:$H$72</definedName>
    <definedName name="OSRRefH22_13x_0" localSheetId="75">'411'!$H$63:$H$64</definedName>
    <definedName name="OSRRefH22_13x_0" localSheetId="79">'415'!$H$65</definedName>
    <definedName name="OSRRefH22_13x_0" localSheetId="88">'433'!$H$66:$H$73</definedName>
    <definedName name="OSRRefH22_13x_0" localSheetId="90">'444'!$H$67</definedName>
    <definedName name="OSRRefH22_13x_0" localSheetId="91">'450'!$H$64:$H$66</definedName>
    <definedName name="OSRRefH22_13x_0" localSheetId="72">'491'!$H$65:$H$67</definedName>
    <definedName name="OSRRefH22_13x_0" localSheetId="86">'492'!$H$66:$H$69</definedName>
    <definedName name="OSRRefH22_13x_0" localSheetId="39">'Div 2'!$H$64:$H$67</definedName>
    <definedName name="OSRRefH22_13x_0" localSheetId="47">'Div 3'!$H$175</definedName>
    <definedName name="OSRRefH22_13x_0" localSheetId="70">'Div 4'!$H$68</definedName>
    <definedName name="OSRRefH22_13x_0" localSheetId="2">Summary!$H$202</definedName>
    <definedName name="OSRRefH22_14x_0" localSheetId="41">'201'!$H$61</definedName>
    <definedName name="OSRRefH22_14x_0" localSheetId="48">'300'!$H$173</definedName>
    <definedName name="OSRRefH22_14x_0" localSheetId="49">'300 &amp; 317'!$H$196</definedName>
    <definedName name="OSRRefH22_14x_0" localSheetId="50">'301'!$H$67</definedName>
    <definedName name="OSRRefH22_14x_0" localSheetId="63">'310'!$H$75:$H$80</definedName>
    <definedName name="OSRRefH22_14x_0" localSheetId="71">'310 &amp; 491'!$H$79</definedName>
    <definedName name="OSRRefH22_14x_0" localSheetId="57">'315'!$H$136</definedName>
    <definedName name="OSRRefH22_14x_0" localSheetId="68">'325'!$H$70</definedName>
    <definedName name="OSRRefH22_14x_0" localSheetId="58">'326'!$H$95:$H$98</definedName>
    <definedName name="OSRRefH22_14x_0" localSheetId="56">'331'!$H$129:$H$131</definedName>
    <definedName name="OSRRefH22_14x_0" localSheetId="54">'333'!$H$131:$H$133</definedName>
    <definedName name="OSRRefH22_14x_0" localSheetId="73">'405'!$H$74</definedName>
    <definedName name="OSRRefH22_14x_0" localSheetId="75">'411'!$H$66</definedName>
    <definedName name="OSRRefH22_14x_0" localSheetId="79">'415'!$H$67:$H$72</definedName>
    <definedName name="OSRRefH22_14x_0" localSheetId="88">'433'!$H$75</definedName>
    <definedName name="OSRRefH22_14x_0" localSheetId="90">'444'!$H$69:$H$76</definedName>
    <definedName name="OSRRefH22_14x_0" localSheetId="91">'450'!$H$68:$H$73</definedName>
    <definedName name="OSRRefH22_14x_0" localSheetId="72">'491'!$H$69</definedName>
    <definedName name="OSRRefH22_14x_0" localSheetId="86">'492'!$H$71</definedName>
    <definedName name="OSRRefH22_14x_0" localSheetId="39">'Div 2'!$H$69</definedName>
    <definedName name="OSRRefH22_14x_0" localSheetId="47">'Div 3'!$H$177:$H$178</definedName>
    <definedName name="OSRRefH22_14x_0" localSheetId="70">'Div 4'!$H$70</definedName>
    <definedName name="OSRRefH22_14x_0" localSheetId="2">Summary!$H$204:$H$205</definedName>
    <definedName name="OSRRefH22_15x_0" localSheetId="48">'300'!$H$175</definedName>
    <definedName name="OSRRefH22_15x_0" localSheetId="49">'300 &amp; 317'!$H$198</definedName>
    <definedName name="OSRRefH22_15x_0" localSheetId="50">'301'!$H$69:$H$72</definedName>
    <definedName name="OSRRefH22_15x_0" localSheetId="63">'310'!$H$82</definedName>
    <definedName name="OSRRefH22_15x_0" localSheetId="71">'310 &amp; 491'!$H$81:$H$84</definedName>
    <definedName name="OSRRefH22_15x_0" localSheetId="58">'326'!$H$100</definedName>
    <definedName name="OSRRefH22_15x_0" localSheetId="56">'331'!$H$133:$H$134</definedName>
    <definedName name="OSRRefH22_15x_0" localSheetId="54">'333'!$H$135:$H$136</definedName>
    <definedName name="OSRRefH22_15x_0" localSheetId="73">'405'!$H$76</definedName>
    <definedName name="OSRRefH22_15x_0" localSheetId="79">'415'!$H$74</definedName>
    <definedName name="OSRRefH22_15x_0" localSheetId="90">'444'!$H$78</definedName>
    <definedName name="OSRRefH22_15x_0" localSheetId="91">'450'!$H$75</definedName>
    <definedName name="OSRRefH22_15x_0" localSheetId="72">'491'!$H$71:$H$74</definedName>
    <definedName name="OSRRefH22_15x_0" localSheetId="86">'492'!$H$73:$H$80</definedName>
    <definedName name="OSRRefH22_15x_0" localSheetId="39">'Div 2'!$H$71</definedName>
    <definedName name="OSRRefH22_15x_0" localSheetId="47">'Div 3'!$H$180</definedName>
    <definedName name="OSRRefH22_15x_0" localSheetId="70">'Div 4'!$H$72:$H$74</definedName>
    <definedName name="OSRRefH22_15x_0" localSheetId="2">Summary!$H$207</definedName>
    <definedName name="OSRRefH22_16x_0" localSheetId="48">'300'!$H$177:$H$180</definedName>
    <definedName name="OSRRefH22_16x_0" localSheetId="49">'300 &amp; 317'!$H$200:$H$203</definedName>
    <definedName name="OSRRefH22_16x_0" localSheetId="50">'301'!$H$74:$H$76</definedName>
    <definedName name="OSRRefH22_16x_0" localSheetId="63">'310'!$H$84</definedName>
    <definedName name="OSRRefH22_16x_0" localSheetId="71">'310 &amp; 491'!$H$86</definedName>
    <definedName name="OSRRefH22_16x_0" localSheetId="58">'326'!$H$102</definedName>
    <definedName name="OSRRefH22_16x_0" localSheetId="56">'331'!$H$136:$H$138</definedName>
    <definedName name="OSRRefH22_16x_0" localSheetId="54">'333'!$H$138:$H$141</definedName>
    <definedName name="OSRRefH22_16x_0" localSheetId="79">'415'!$H$76</definedName>
    <definedName name="OSRRefH22_16x_0" localSheetId="90">'444'!$H$80</definedName>
    <definedName name="OSRRefH22_16x_0" localSheetId="91">'450'!$H$77</definedName>
    <definedName name="OSRRefH22_16x_0" localSheetId="72">'491'!$H$76</definedName>
    <definedName name="OSRRefH22_16x_0" localSheetId="86">'492'!$H$82</definedName>
    <definedName name="OSRRefH22_16x_0" localSheetId="39">'Div 2'!$H$73:$H$77</definedName>
    <definedName name="OSRRefH22_16x_0" localSheetId="47">'Div 3'!$H$182</definedName>
    <definedName name="OSRRefH22_16x_0" localSheetId="70">'Div 4'!$H$76</definedName>
    <definedName name="OSRRefH22_16x_0" localSheetId="2">Summary!$H$209</definedName>
    <definedName name="OSRRefH22_17x_0" localSheetId="48">'300'!$H$182:$H$184</definedName>
    <definedName name="OSRRefH22_17x_0" localSheetId="49">'300 &amp; 317'!$H$205:$H$207</definedName>
    <definedName name="OSRRefH22_17x_0" localSheetId="50">'301'!$H$78</definedName>
    <definedName name="OSRRefH22_17x_0" localSheetId="71">'310 &amp; 491'!$H$88:$H$96</definedName>
    <definedName name="OSRRefH22_17x_0" localSheetId="58">'326'!$H$104</definedName>
    <definedName name="OSRRefH22_17x_0" localSheetId="56">'331'!$H$140:$H$141</definedName>
    <definedName name="OSRRefH22_17x_0" localSheetId="54">'333'!$H$143:$H$144</definedName>
    <definedName name="OSRRefH22_17x_0" localSheetId="79">'415'!$H$78</definedName>
    <definedName name="OSRRefH22_17x_0" localSheetId="72">'491'!$H$78:$H$86</definedName>
    <definedName name="OSRRefH22_17x_0" localSheetId="86">'492'!$H$84</definedName>
    <definedName name="OSRRefH22_17x_0" localSheetId="39">'Div 2'!$H$79:$H$80</definedName>
    <definedName name="OSRRefH22_17x_0" localSheetId="47">'Div 3'!$H$184:$H$187</definedName>
    <definedName name="OSRRefH22_17x_0" localSheetId="70">'Div 4'!$H$78:$H$81</definedName>
    <definedName name="OSRRefH22_17x_0" localSheetId="2">Summary!$H$211</definedName>
    <definedName name="OSRRefH22_18x_0" localSheetId="48">'300'!$H$186:$H$189</definedName>
    <definedName name="OSRRefH22_18x_0" localSheetId="49">'300 &amp; 317'!$H$209:$H$212</definedName>
    <definedName name="OSRRefH22_18x_0" localSheetId="50">'301'!$H$80:$H$85</definedName>
    <definedName name="OSRRefH22_18x_0" localSheetId="71">'310 &amp; 491'!$H$98</definedName>
    <definedName name="OSRRefH22_18x_0" localSheetId="56">'331'!$H$143:$H$148</definedName>
    <definedName name="OSRRefH22_18x_0" localSheetId="54">'333'!$H$146:$H$151</definedName>
    <definedName name="OSRRefH22_18x_0" localSheetId="72">'491'!$H$88</definedName>
    <definedName name="OSRRefH22_18x_0" localSheetId="86">'492'!$H$86:$H$87</definedName>
    <definedName name="OSRRefH22_18x_0" localSheetId="39">'Div 2'!$H$82</definedName>
    <definedName name="OSRRefH22_18x_0" localSheetId="47">'Div 3'!$H$189:$H$191</definedName>
    <definedName name="OSRRefH22_18x_0" localSheetId="70">'Div 4'!$H$83:$H$84</definedName>
    <definedName name="OSRRefH22_18x_0" localSheetId="2">Summary!$H$213:$H$216</definedName>
    <definedName name="OSRRefH22_19x_0" localSheetId="48">'300'!$H$191:$H$192</definedName>
    <definedName name="OSRRefH22_19x_0" localSheetId="49">'300 &amp; 317'!$H$214:$H$215</definedName>
    <definedName name="OSRRefH22_19x_0" localSheetId="50">'301'!$H$87</definedName>
    <definedName name="OSRRefH22_19x_0" localSheetId="71">'310 &amp; 491'!$H$100</definedName>
    <definedName name="OSRRefH22_19x_0" localSheetId="56">'331'!$H$150</definedName>
    <definedName name="OSRRefH22_19x_0" localSheetId="54">'333'!$H$153</definedName>
    <definedName name="OSRRefH22_19x_0" localSheetId="72">'491'!$H$90</definedName>
    <definedName name="OSRRefH22_19x_0" localSheetId="39">'Div 2'!$H$84:$H$85</definedName>
    <definedName name="OSRRefH22_19x_0" localSheetId="47">'Div 3'!$H$193:$H$197</definedName>
    <definedName name="OSRRefH22_19x_0" localSheetId="70">'Div 4'!$H$86:$H$94</definedName>
    <definedName name="OSRRefH22_19x_0" localSheetId="2">Summary!$H$218:$H$220</definedName>
    <definedName name="OSRRefH22_1x_0" localSheetId="40">'200'!$H$22</definedName>
    <definedName name="OSRRefH22_1x_0" localSheetId="41">'201'!$H$29:$H$31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'206'!$H$29:$H$31</definedName>
    <definedName name="OSRRefH22_1x_0" localSheetId="48">'300'!$H$136:$H$142</definedName>
    <definedName name="OSRRefH22_1x_0" localSheetId="49">'300 &amp; 317'!$H$159:$H$165</definedName>
    <definedName name="OSRRefH22_1x_0" localSheetId="50">'301'!$H$32:$H$38</definedName>
    <definedName name="OSRRefH22_1x_0" localSheetId="55">'307'!$H$47:$H$50</definedName>
    <definedName name="OSRRefH22_1x_0" localSheetId="51">'308'!$H$71:$H$77</definedName>
    <definedName name="OSRRefH22_1x_0" localSheetId="64">'309'!$H$23</definedName>
    <definedName name="OSRRefH22_1x_0" localSheetId="63">'310'!$H$41:$H$44</definedName>
    <definedName name="OSRRefH22_1x_0" localSheetId="71">'310 &amp; 491'!$H$45:$H$49</definedName>
    <definedName name="OSRRefH22_1x_0" localSheetId="52">'311'!$H$71:$H$77</definedName>
    <definedName name="OSRRefH22_1x_0" localSheetId="65">'313'!$H$34</definedName>
    <definedName name="OSRRefH22_1x_0" localSheetId="57">'315'!$H$96:$H$100</definedName>
    <definedName name="OSRRefH22_1x_0" localSheetId="60">'316'!$H$42:$H$44</definedName>
    <definedName name="OSRRefH22_1x_0" localSheetId="62">'317'!$H$64:$H$68</definedName>
    <definedName name="OSRRefH22_1x_0" localSheetId="66">'321'!$H$34:$H$37</definedName>
    <definedName name="OSRRefH22_1x_0" localSheetId="67">'322'!$H$27</definedName>
    <definedName name="OSRRefH22_1x_0" localSheetId="68">'325'!$H$33:$H$35</definedName>
    <definedName name="OSRRefH22_1x_0" localSheetId="58">'326'!$H$60:$H$64</definedName>
    <definedName name="OSRRefH22_1x_0" localSheetId="69">'327'!$H$26</definedName>
    <definedName name="OSRRefH22_1x_0" localSheetId="56">'331'!$H$96:$H$100</definedName>
    <definedName name="OSRRefH22_1x_0" localSheetId="59">'332'!$H$44:$H$46</definedName>
    <definedName name="OSRRefH22_1x_0" localSheetId="54">'333'!$H$98:$H$102</definedName>
    <definedName name="OSRRefH22_1x_0" localSheetId="73">'405'!$H$33:$H$36</definedName>
    <definedName name="OSRRefH22_1x_0" localSheetId="74">'406'!$H$22</definedName>
    <definedName name="OSRRefH22_1x_0" localSheetId="75">'411'!$H$29:$H$33</definedName>
    <definedName name="OSRRefH22_1x_0" localSheetId="76">'412'!$H$22</definedName>
    <definedName name="OSRRefH22_1x_0" localSheetId="77">'413'!$H$26</definedName>
    <definedName name="OSRRefH22_1x_0" localSheetId="78">'414'!$H$23</definedName>
    <definedName name="OSRRefH22_1x_0" localSheetId="79">'415'!$H$33:$H$36</definedName>
    <definedName name="OSRRefH22_1x_0" localSheetId="80">'418'!$H$30:$H$33</definedName>
    <definedName name="OSRRefH22_1x_0" localSheetId="82">'423'!$H$23</definedName>
    <definedName name="OSRRefH22_1x_0" localSheetId="83">'424'!$H$22</definedName>
    <definedName name="OSRRefH22_1x_0" localSheetId="84">'425'!$H$28</definedName>
    <definedName name="OSRRefH22_1x_0" localSheetId="87">'430'!$H$29</definedName>
    <definedName name="OSRRefH22_1x_0" localSheetId="88">'433'!$H$35:$H$39</definedName>
    <definedName name="OSRRefH22_1x_0" localSheetId="89">'435'!$H$22</definedName>
    <definedName name="OSRRefH22_1x_0" localSheetId="90">'444'!$H$35:$H$39</definedName>
    <definedName name="OSRRefH22_1x_0" localSheetId="91">'450'!$H$35:$H$39</definedName>
    <definedName name="OSRRefH22_1x_0" localSheetId="72">'491'!$H$36:$H$40</definedName>
    <definedName name="OSRRefH22_1x_0" localSheetId="86">'492'!$H$35:$H$40</definedName>
    <definedName name="OSRRefH22_1x_0" localSheetId="93">'501'!$H$31:$H$36</definedName>
    <definedName name="OSRRefH22_1x_0" localSheetId="39">'Div 2'!$H$32:$H$37</definedName>
    <definedName name="OSRRefH22_1x_0" localSheetId="47">'Div 3'!$H$141:$H$147</definedName>
    <definedName name="OSRRefH22_1x_0" localSheetId="70">'Div 4'!$H$38:$H$43</definedName>
    <definedName name="OSRRefH22_1x_0" localSheetId="92">'Div 5'!$H$31:$H$36</definedName>
    <definedName name="OSRRefH22_1x_0" localSheetId="61">'Div 6'!$H$64:$H$68</definedName>
    <definedName name="OSRRefH22_1x_0" localSheetId="2">Summary!$H$168:$H$174</definedName>
    <definedName name="OSRRefH22_20x_0" localSheetId="48">'300'!$H$194:$H$200</definedName>
    <definedName name="OSRRefH22_20x_0" localSheetId="49">'300 &amp; 317'!$H$217:$H$223</definedName>
    <definedName name="OSRRefH22_20x_0" localSheetId="50">'301'!$H$89</definedName>
    <definedName name="OSRRefH22_20x_0" localSheetId="71">'310 &amp; 491'!$H$102:$H$103</definedName>
    <definedName name="OSRRefH22_20x_0" localSheetId="56">'331'!$H$152</definedName>
    <definedName name="OSRRefH22_20x_0" localSheetId="54">'333'!$H$155</definedName>
    <definedName name="OSRRefH22_20x_0" localSheetId="72">'491'!$H$92:$H$93</definedName>
    <definedName name="OSRRefH22_20x_0" localSheetId="47">'Div 3'!$H$199:$H$200</definedName>
    <definedName name="OSRRefH22_20x_0" localSheetId="70">'Div 4'!$H$96</definedName>
    <definedName name="OSRRefH22_20x_0" localSheetId="2">Summary!$H$222:$H$226</definedName>
    <definedName name="OSRRefH22_21x_0" localSheetId="48">'300'!$H$202:$H$203</definedName>
    <definedName name="OSRRefH22_21x_0" localSheetId="49">'300 &amp; 317'!$H$225:$H$226</definedName>
    <definedName name="OSRRefH22_21x_0" localSheetId="50">'301'!$H$91:$H$92</definedName>
    <definedName name="OSRRefH22_21x_0" localSheetId="71">'310 &amp; 491'!$H$105</definedName>
    <definedName name="OSRRefH22_21x_0" localSheetId="56">'331'!$H$154</definedName>
    <definedName name="OSRRefH22_21x_0" localSheetId="54">'333'!$H$157</definedName>
    <definedName name="OSRRefH22_21x_0" localSheetId="72">'491'!$H$95</definedName>
    <definedName name="OSRRefH22_21x_0" localSheetId="47">'Div 3'!$H$202:$H$208</definedName>
    <definedName name="OSRRefH22_21x_0" localSheetId="70">'Div 4'!$H$98</definedName>
    <definedName name="OSRRefH22_21x_0" localSheetId="2">Summary!$H$228:$H$229</definedName>
    <definedName name="OSRRefH22_22x_0" localSheetId="48">'300'!$H$205</definedName>
    <definedName name="OSRRefH22_22x_0" localSheetId="49">'300 &amp; 317'!$H$228</definedName>
    <definedName name="OSRRefH22_22x_0" localSheetId="50">'301'!$H$94</definedName>
    <definedName name="OSRRefH22_22x_0" localSheetId="54">'333'!$H$159</definedName>
    <definedName name="OSRRefH22_22x_0" localSheetId="47">'Div 3'!$H$210:$H$211</definedName>
    <definedName name="OSRRefH22_22x_0" localSheetId="70">'Div 4'!$H$100:$H$101</definedName>
    <definedName name="OSRRefH22_22x_0" localSheetId="2">Summary!$H$231:$H$239</definedName>
    <definedName name="OSRRefH22_23x_0" localSheetId="48">'300'!$H$207:$H$209</definedName>
    <definedName name="OSRRefH22_23x_0" localSheetId="49">'300 &amp; 317'!$H$230:$H$232</definedName>
    <definedName name="OSRRefH22_23x_0" localSheetId="47">'Div 3'!$H$213</definedName>
    <definedName name="OSRRefH22_23x_0" localSheetId="70">'Div 4'!$H$103</definedName>
    <definedName name="OSRRefH22_23x_0" localSheetId="2">Summary!$H$241:$H$242</definedName>
    <definedName name="OSRRefH22_24x_0" localSheetId="48">'300'!$H$211</definedName>
    <definedName name="OSRRefH22_24x_0" localSheetId="49">'300 &amp; 317'!$H$234</definedName>
    <definedName name="OSRRefH22_24x_0" localSheetId="47">'Div 3'!$H$215:$H$217</definedName>
    <definedName name="OSRRefH22_24x_0" localSheetId="2">Summary!$H$244</definedName>
    <definedName name="OSRRefH22_25x_0" localSheetId="47">'Div 3'!$H$219</definedName>
    <definedName name="OSRRefH22_25x_0" localSheetId="2">Summary!$H$246:$H$248</definedName>
    <definedName name="OSRRefH22_26x_0" localSheetId="2">Summary!$H$250</definedName>
    <definedName name="OSRRefH22_2x_0" localSheetId="40">'200'!$H$24</definedName>
    <definedName name="OSRRefH22_2x_0" localSheetId="41">'201'!$H$33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'206'!$H$33</definedName>
    <definedName name="OSRRefH22_2x_0" localSheetId="48">'300'!$H$144</definedName>
    <definedName name="OSRRefH22_2x_0" localSheetId="49">'300 &amp; 317'!$H$167</definedName>
    <definedName name="OSRRefH22_2x_0" localSheetId="50">'301'!$H$40</definedName>
    <definedName name="OSRRefH22_2x_0" localSheetId="55">'307'!$H$52</definedName>
    <definedName name="OSRRefH22_2x_0" localSheetId="51">'308'!$H$79</definedName>
    <definedName name="OSRRefH22_2x_0" localSheetId="64">'309'!$H$25</definedName>
    <definedName name="OSRRefH22_2x_0" localSheetId="63">'310'!$H$46</definedName>
    <definedName name="OSRRefH22_2x_0" localSheetId="71">'310 &amp; 491'!$H$51</definedName>
    <definedName name="OSRRefH22_2x_0" localSheetId="52">'311'!$H$79</definedName>
    <definedName name="OSRRefH22_2x_0" localSheetId="65">'313'!$H$36</definedName>
    <definedName name="OSRRefH22_2x_0" localSheetId="57">'315'!$H$102</definedName>
    <definedName name="OSRRefH22_2x_0" localSheetId="60">'316'!$H$46</definedName>
    <definedName name="OSRRefH22_2x_0" localSheetId="62">'317'!$H$70</definedName>
    <definedName name="OSRRefH22_2x_0" localSheetId="66">'321'!$H$39</definedName>
    <definedName name="OSRRefH22_2x_0" localSheetId="67">'322'!$H$29</definedName>
    <definedName name="OSRRefH22_2x_0" localSheetId="68">'325'!$H$37</definedName>
    <definedName name="OSRRefH22_2x_0" localSheetId="58">'326'!$H$66</definedName>
    <definedName name="OSRRefH22_2x_0" localSheetId="56">'331'!$H$102</definedName>
    <definedName name="OSRRefH22_2x_0" localSheetId="59">'332'!$H$48</definedName>
    <definedName name="OSRRefH22_2x_0" localSheetId="54">'333'!$H$104</definedName>
    <definedName name="OSRRefH22_2x_0" localSheetId="73">'405'!$H$38</definedName>
    <definedName name="OSRRefH22_2x_0" localSheetId="74">'406'!$H$24</definedName>
    <definedName name="OSRRefH22_2x_0" localSheetId="75">'411'!$H$35</definedName>
    <definedName name="OSRRefH22_2x_0" localSheetId="76">'412'!$H$24:$H$25</definedName>
    <definedName name="OSRRefH22_2x_0" localSheetId="77">'413'!$H$28</definedName>
    <definedName name="OSRRefH22_2x_0" localSheetId="78">'414'!$H$25</definedName>
    <definedName name="OSRRefH22_2x_0" localSheetId="79">'415'!$H$38</definedName>
    <definedName name="OSRRefH22_2x_0" localSheetId="80">'418'!$H$35</definedName>
    <definedName name="OSRRefH22_2x_0" localSheetId="82">'423'!$H$25</definedName>
    <definedName name="OSRRefH22_2x_0" localSheetId="83">'424'!$H$24</definedName>
    <definedName name="OSRRefH22_2x_0" localSheetId="84">'425'!$H$30</definedName>
    <definedName name="OSRRefH22_2x_0" localSheetId="87">'430'!$H$31</definedName>
    <definedName name="OSRRefH22_2x_0" localSheetId="88">'433'!$H$41</definedName>
    <definedName name="OSRRefH22_2x_0" localSheetId="90">'444'!$H$41</definedName>
    <definedName name="OSRRefH22_2x_0" localSheetId="91">'450'!$H$41</definedName>
    <definedName name="OSRRefH22_2x_0" localSheetId="72">'491'!$H$42</definedName>
    <definedName name="OSRRefH22_2x_0" localSheetId="86">'492'!$H$42</definedName>
    <definedName name="OSRRefH22_2x_0" localSheetId="93">'501'!$H$38</definedName>
    <definedName name="OSRRefH22_2x_0" localSheetId="39">'Div 2'!$H$39</definedName>
    <definedName name="OSRRefH22_2x_0" localSheetId="47">'Div 3'!$H$149</definedName>
    <definedName name="OSRRefH22_2x_0" localSheetId="70">'Div 4'!$H$45</definedName>
    <definedName name="OSRRefH22_2x_0" localSheetId="92">'Div 5'!$H$38</definedName>
    <definedName name="OSRRefH22_2x_0" localSheetId="61">'Div 6'!$H$70</definedName>
    <definedName name="OSRRefH22_2x_0" localSheetId="2">Summary!$H$176</definedName>
    <definedName name="OSRRefH22_3x_0" localSheetId="40">'200'!$H$26</definedName>
    <definedName name="OSRRefH22_3x_0" localSheetId="41">'201'!$H$35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'206'!$H$35</definedName>
    <definedName name="OSRRefH22_3x_0" localSheetId="48">'300'!$H$146:$H$147</definedName>
    <definedName name="OSRRefH22_3x_0" localSheetId="49">'300 &amp; 317'!$H$169:$H$170</definedName>
    <definedName name="OSRRefH22_3x_0" localSheetId="50">'301'!$H$42:$H$43</definedName>
    <definedName name="OSRRefH22_3x_0" localSheetId="55">'307'!$H$54</definedName>
    <definedName name="OSRRefH22_3x_0" localSheetId="51">'308'!$H$81:$H$82</definedName>
    <definedName name="OSRRefH22_3x_0" localSheetId="64">'309'!$H$27</definedName>
    <definedName name="OSRRefH22_3x_0" localSheetId="63">'310'!$H$48</definedName>
    <definedName name="OSRRefH22_3x_0" localSheetId="71">'310 &amp; 491'!$H$53</definedName>
    <definedName name="OSRRefH22_3x_0" localSheetId="52">'311'!$H$81:$H$82</definedName>
    <definedName name="OSRRefH22_3x_0" localSheetId="65">'313'!$H$38</definedName>
    <definedName name="OSRRefH22_3x_0" localSheetId="57">'315'!$H$104:$H$105</definedName>
    <definedName name="OSRRefH22_3x_0" localSheetId="60">'316'!$H$48</definedName>
    <definedName name="OSRRefH22_3x_0" localSheetId="62">'317'!$H$72</definedName>
    <definedName name="OSRRefH22_3x_0" localSheetId="66">'321'!$H$41</definedName>
    <definedName name="OSRRefH22_3x_0" localSheetId="67">'322'!$H$31</definedName>
    <definedName name="OSRRefH22_3x_0" localSheetId="68">'325'!$H$39</definedName>
    <definedName name="OSRRefH22_3x_0" localSheetId="58">'326'!$H$68</definedName>
    <definedName name="OSRRefH22_3x_0" localSheetId="56">'331'!$H$104</definedName>
    <definedName name="OSRRefH22_3x_0" localSheetId="59">'332'!$H$50</definedName>
    <definedName name="OSRRefH22_3x_0" localSheetId="54">'333'!$H$106</definedName>
    <definedName name="OSRRefH22_3x_0" localSheetId="73">'405'!$H$40</definedName>
    <definedName name="OSRRefH22_3x_0" localSheetId="74">'406'!$H$26</definedName>
    <definedName name="OSRRefH22_3x_0" localSheetId="75">'411'!$H$37:$H$38</definedName>
    <definedName name="OSRRefH22_3x_0" localSheetId="76">'412'!$H$27</definedName>
    <definedName name="OSRRefH22_3x_0" localSheetId="77">'413'!$H$30</definedName>
    <definedName name="OSRRefH22_3x_0" localSheetId="78">'414'!$H$27</definedName>
    <definedName name="OSRRefH22_3x_0" localSheetId="79">'415'!$H$40</definedName>
    <definedName name="OSRRefH22_3x_0" localSheetId="80">'418'!$H$37</definedName>
    <definedName name="OSRRefH22_3x_0" localSheetId="82">'423'!$H$27</definedName>
    <definedName name="OSRRefH22_3x_0" localSheetId="83">'424'!$H$26</definedName>
    <definedName name="OSRRefH22_3x_0" localSheetId="84">'425'!$H$32</definedName>
    <definedName name="OSRRefH22_3x_0" localSheetId="87">'430'!$H$33</definedName>
    <definedName name="OSRRefH22_3x_0" localSheetId="88">'433'!$H$43</definedName>
    <definedName name="OSRRefH22_3x_0" localSheetId="90">'444'!$H$43</definedName>
    <definedName name="OSRRefH22_3x_0" localSheetId="91">'450'!$H$43</definedName>
    <definedName name="OSRRefH22_3x_0" localSheetId="72">'491'!$H$44</definedName>
    <definedName name="OSRRefH22_3x_0" localSheetId="86">'492'!$H$44</definedName>
    <definedName name="OSRRefH22_3x_0" localSheetId="93">'501'!$H$40</definedName>
    <definedName name="OSRRefH22_3x_0" localSheetId="39">'Div 2'!$H$41</definedName>
    <definedName name="OSRRefH22_3x_0" localSheetId="47">'Div 3'!$H$151:$H$152</definedName>
    <definedName name="OSRRefH22_3x_0" localSheetId="70">'Div 4'!$H$47</definedName>
    <definedName name="OSRRefH22_3x_0" localSheetId="92">'Div 5'!$H$40</definedName>
    <definedName name="OSRRefH22_3x_0" localSheetId="61">'Div 6'!$H$72</definedName>
    <definedName name="OSRRefH22_3x_0" localSheetId="2">Summary!$H$178:$H$179</definedName>
    <definedName name="OSRRefH22_4x_0" localSheetId="41">'201'!$H$37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'205'!$H$35:$H$36</definedName>
    <definedName name="OSRRefH22_4x_0" localSheetId="46">'206'!$H$37</definedName>
    <definedName name="OSRRefH22_4x_0" localSheetId="48">'300'!$H$149</definedName>
    <definedName name="OSRRefH22_4x_0" localSheetId="49">'300 &amp; 317'!$H$172</definedName>
    <definedName name="OSRRefH22_4x_0" localSheetId="50">'301'!$H$45</definedName>
    <definedName name="OSRRefH22_4x_0" localSheetId="55">'307'!$H$56:$H$57</definedName>
    <definedName name="OSRRefH22_4x_0" localSheetId="51">'308'!$H$84</definedName>
    <definedName name="OSRRefH22_4x_0" localSheetId="64">'309'!$H$29</definedName>
    <definedName name="OSRRefH22_4x_0" localSheetId="63">'310'!$H$50</definedName>
    <definedName name="OSRRefH22_4x_0" localSheetId="71">'310 &amp; 491'!$H$55</definedName>
    <definedName name="OSRRefH22_4x_0" localSheetId="52">'311'!$H$84</definedName>
    <definedName name="OSRRefH22_4x_0" localSheetId="65">'313'!$H$40</definedName>
    <definedName name="OSRRefH22_4x_0" localSheetId="57">'315'!$H$107</definedName>
    <definedName name="OSRRefH22_4x_0" localSheetId="60">'316'!$H$50</definedName>
    <definedName name="OSRRefH22_4x_0" localSheetId="62">'317'!$H$74</definedName>
    <definedName name="OSRRefH22_4x_0" localSheetId="66">'321'!$H$43</definedName>
    <definedName name="OSRRefH22_4x_0" localSheetId="67">'322'!$H$33:$H$34</definedName>
    <definedName name="OSRRefH22_4x_0" localSheetId="68">'325'!$H$41</definedName>
    <definedName name="OSRRefH22_4x_0" localSheetId="58">'326'!$H$70</definedName>
    <definedName name="OSRRefH22_4x_0" localSheetId="56">'331'!$H$106</definedName>
    <definedName name="OSRRefH22_4x_0" localSheetId="59">'332'!$H$52</definedName>
    <definedName name="OSRRefH22_4x_0" localSheetId="54">'333'!$H$108</definedName>
    <definedName name="OSRRefH22_4x_0" localSheetId="73">'405'!$H$42</definedName>
    <definedName name="OSRRefH22_4x_0" localSheetId="74">'406'!$H$28</definedName>
    <definedName name="OSRRefH22_4x_0" localSheetId="75">'411'!$H$40</definedName>
    <definedName name="OSRRefH22_4x_0" localSheetId="76">'412'!$H$29</definedName>
    <definedName name="OSRRefH22_4x_0" localSheetId="77">'413'!$H$32</definedName>
    <definedName name="OSRRefH22_4x_0" localSheetId="78">'414'!$H$29:$H$30</definedName>
    <definedName name="OSRRefH22_4x_0" localSheetId="79">'415'!$H$42</definedName>
    <definedName name="OSRRefH22_4x_0" localSheetId="80">'418'!$H$39:$H$40</definedName>
    <definedName name="OSRRefH22_4x_0" localSheetId="84">'425'!$H$34</definedName>
    <definedName name="OSRRefH22_4x_0" localSheetId="87">'430'!$H$35</definedName>
    <definedName name="OSRRefH22_4x_0" localSheetId="88">'433'!$H$45</definedName>
    <definedName name="OSRRefH22_4x_0" localSheetId="90">'444'!$H$45</definedName>
    <definedName name="OSRRefH22_4x_0" localSheetId="91">'450'!$H$45</definedName>
    <definedName name="OSRRefH22_4x_0" localSheetId="72">'491'!$H$46</definedName>
    <definedName name="OSRRefH22_4x_0" localSheetId="86">'492'!$H$46</definedName>
    <definedName name="OSRRefH22_4x_0" localSheetId="93">'501'!$H$42:$H$43</definedName>
    <definedName name="OSRRefH22_4x_0" localSheetId="39">'Div 2'!$H$43</definedName>
    <definedName name="OSRRefH22_4x_0" localSheetId="47">'Div 3'!$H$154</definedName>
    <definedName name="OSRRefH22_4x_0" localSheetId="70">'Div 4'!$H$49</definedName>
    <definedName name="OSRRefH22_4x_0" localSheetId="92">'Div 5'!$H$42:$H$43</definedName>
    <definedName name="OSRRefH22_4x_0" localSheetId="61">'Div 6'!$H$74</definedName>
    <definedName name="OSRRefH22_4x_0" localSheetId="2">Summary!$H$181</definedName>
    <definedName name="OSRRefH22_5x_0" localSheetId="41">'201'!$H$39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'205'!$H$38:$H$40</definedName>
    <definedName name="OSRRefH22_5x_0" localSheetId="46">'206'!$H$39</definedName>
    <definedName name="OSRRefH22_5x_0" localSheetId="48">'300'!$H$151:$H$152</definedName>
    <definedName name="OSRRefH22_5x_0" localSheetId="49">'300 &amp; 317'!$H$174:$H$175</definedName>
    <definedName name="OSRRefH22_5x_0" localSheetId="50">'301'!$H$47:$H$48</definedName>
    <definedName name="OSRRefH22_5x_0" localSheetId="55">'307'!$H$59</definedName>
    <definedName name="OSRRefH22_5x_0" localSheetId="51">'308'!$H$86</definedName>
    <definedName name="OSRRefH22_5x_0" localSheetId="64">'309'!$H$31:$H$32</definedName>
    <definedName name="OSRRefH22_5x_0" localSheetId="63">'310'!$H$52:$H$53</definedName>
    <definedName name="OSRRefH22_5x_0" localSheetId="71">'310 &amp; 491'!$H$57:$H$58</definedName>
    <definedName name="OSRRefH22_5x_0" localSheetId="52">'311'!$H$86</definedName>
    <definedName name="OSRRefH22_5x_0" localSheetId="65">'313'!$H$42</definedName>
    <definedName name="OSRRefH22_5x_0" localSheetId="57">'315'!$H$109</definedName>
    <definedName name="OSRRefH22_5x_0" localSheetId="60">'316'!$H$52</definedName>
    <definedName name="OSRRefH22_5x_0" localSheetId="62">'317'!$H$76:$H$77</definedName>
    <definedName name="OSRRefH22_5x_0" localSheetId="66">'321'!$H$45</definedName>
    <definedName name="OSRRefH22_5x_0" localSheetId="67">'322'!$H$36</definedName>
    <definedName name="OSRRefH22_5x_0" localSheetId="68">'325'!$H$43:$H$44</definedName>
    <definedName name="OSRRefH22_5x_0" localSheetId="58">'326'!$H$72</definedName>
    <definedName name="OSRRefH22_5x_0" localSheetId="56">'331'!$H$108:$H$109</definedName>
    <definedName name="OSRRefH22_5x_0" localSheetId="59">'332'!$H$54</definedName>
    <definedName name="OSRRefH22_5x_0" localSheetId="54">'333'!$H$110:$H$111</definedName>
    <definedName name="OSRRefH22_5x_0" localSheetId="73">'405'!$H$44:$H$45</definedName>
    <definedName name="OSRRefH22_5x_0" localSheetId="75">'411'!$H$42</definedName>
    <definedName name="OSRRefH22_5x_0" localSheetId="77">'413'!$H$34</definedName>
    <definedName name="OSRRefH22_5x_0" localSheetId="79">'415'!$H$44:$H$45</definedName>
    <definedName name="OSRRefH22_5x_0" localSheetId="80">'418'!$H$42</definedName>
    <definedName name="OSRRefH22_5x_0" localSheetId="84">'425'!$H$36:$H$37</definedName>
    <definedName name="OSRRefH22_5x_0" localSheetId="87">'430'!$H$37:$H$38</definedName>
    <definedName name="OSRRefH22_5x_0" localSheetId="88">'433'!$H$47</definedName>
    <definedName name="OSRRefH22_5x_0" localSheetId="90">'444'!$H$47</definedName>
    <definedName name="OSRRefH22_5x_0" localSheetId="91">'450'!$H$47</definedName>
    <definedName name="OSRRefH22_5x_0" localSheetId="72">'491'!$H$48:$H$49</definedName>
    <definedName name="OSRRefH22_5x_0" localSheetId="86">'492'!$H$48</definedName>
    <definedName name="OSRRefH22_5x_0" localSheetId="93">'501'!$H$45</definedName>
    <definedName name="OSRRefH22_5x_0" localSheetId="39">'Div 2'!$H$45</definedName>
    <definedName name="OSRRefH22_5x_0" localSheetId="47">'Div 3'!$H$156:$H$157</definedName>
    <definedName name="OSRRefH22_5x_0" localSheetId="70">'Div 4'!$H$51:$H$52</definedName>
    <definedName name="OSRRefH22_5x_0" localSheetId="92">'Div 5'!$H$45</definedName>
    <definedName name="OSRRefH22_5x_0" localSheetId="61">'Div 6'!$H$76:$H$77</definedName>
    <definedName name="OSRRefH22_5x_0" localSheetId="2">Summary!$H$183:$H$184</definedName>
    <definedName name="OSRRefH22_6x_0" localSheetId="41">'201'!$H$41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'205'!$H$42</definedName>
    <definedName name="OSRRefH22_6x_0" localSheetId="46">'206'!$H$41</definedName>
    <definedName name="OSRRefH22_6x_0" localSheetId="48">'300'!$H$154:$H$155</definedName>
    <definedName name="OSRRefH22_6x_0" localSheetId="49">'300 &amp; 317'!$H$177:$H$178</definedName>
    <definedName name="OSRRefH22_6x_0" localSheetId="50">'301'!$H$50:$H$51</definedName>
    <definedName name="OSRRefH22_6x_0" localSheetId="55">'307'!$H$61</definedName>
    <definedName name="OSRRefH22_6x_0" localSheetId="51">'308'!$H$88:$H$89</definedName>
    <definedName name="OSRRefH22_6x_0" localSheetId="64">'309'!$H$34:$H$35</definedName>
    <definedName name="OSRRefH22_6x_0" localSheetId="63">'310'!$H$55</definedName>
    <definedName name="OSRRefH22_6x_0" localSheetId="71">'310 &amp; 491'!$H$60</definedName>
    <definedName name="OSRRefH22_6x_0" localSheetId="52">'311'!$H$88:$H$89</definedName>
    <definedName name="OSRRefH22_6x_0" localSheetId="65">'313'!$H$44</definedName>
    <definedName name="OSRRefH22_6x_0" localSheetId="57">'315'!$H$111:$H$112</definedName>
    <definedName name="OSRRefH22_6x_0" localSheetId="60">'316'!$H$54:$H$55</definedName>
    <definedName name="OSRRefH22_6x_0" localSheetId="62">'317'!$H$79</definedName>
    <definedName name="OSRRefH22_6x_0" localSheetId="66">'321'!$H$47:$H$48</definedName>
    <definedName name="OSRRefH22_6x_0" localSheetId="67">'322'!$H$38</definedName>
    <definedName name="OSRRefH22_6x_0" localSheetId="68">'325'!$H$46</definedName>
    <definedName name="OSRRefH22_6x_0" localSheetId="58">'326'!$H$74</definedName>
    <definedName name="OSRRefH22_6x_0" localSheetId="56">'331'!$H$111</definedName>
    <definedName name="OSRRefH22_6x_0" localSheetId="59">'332'!$H$56:$H$57</definedName>
    <definedName name="OSRRefH22_6x_0" localSheetId="54">'333'!$H$113</definedName>
    <definedName name="OSRRefH22_6x_0" localSheetId="73">'405'!$H$47</definedName>
    <definedName name="OSRRefH22_6x_0" localSheetId="75">'411'!$H$44</definedName>
    <definedName name="OSRRefH22_6x_0" localSheetId="79">'415'!$H$47</definedName>
    <definedName name="OSRRefH22_6x_0" localSheetId="80">'418'!$H$44</definedName>
    <definedName name="OSRRefH22_6x_0" localSheetId="84">'425'!$H$39</definedName>
    <definedName name="OSRRefH22_6x_0" localSheetId="87">'430'!$H$40</definedName>
    <definedName name="OSRRefH22_6x_0" localSheetId="88">'433'!$H$49</definedName>
    <definedName name="OSRRefH22_6x_0" localSheetId="90">'444'!$H$49</definedName>
    <definedName name="OSRRefH22_6x_0" localSheetId="91">'450'!$H$49</definedName>
    <definedName name="OSRRefH22_6x_0" localSheetId="72">'491'!$H$51</definedName>
    <definedName name="OSRRefH22_6x_0" localSheetId="86">'492'!$H$50</definedName>
    <definedName name="OSRRefH22_6x_0" localSheetId="93">'501'!$H$47</definedName>
    <definedName name="OSRRefH22_6x_0" localSheetId="39">'Div 2'!$H$47</definedName>
    <definedName name="OSRRefH22_6x_0" localSheetId="47">'Div 3'!$H$159:$H$160</definedName>
    <definedName name="OSRRefH22_6x_0" localSheetId="70">'Div 4'!$H$54</definedName>
    <definedName name="OSRRefH22_6x_0" localSheetId="92">'Div 5'!$H$47</definedName>
    <definedName name="OSRRefH22_6x_0" localSheetId="61">'Div 6'!$H$79</definedName>
    <definedName name="OSRRefH22_6x_0" localSheetId="2">Summary!$H$186:$H$187</definedName>
    <definedName name="OSRRefH22_7x_0" localSheetId="41">'201'!$H$43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'300'!$H$157</definedName>
    <definedName name="OSRRefH22_7x_0" localSheetId="49">'300 &amp; 317'!$H$180</definedName>
    <definedName name="OSRRefH22_7x_0" localSheetId="50">'301'!$H$53</definedName>
    <definedName name="OSRRefH22_7x_0" localSheetId="55">'307'!$H$63</definedName>
    <definedName name="OSRRefH22_7x_0" localSheetId="51">'308'!$H$91</definedName>
    <definedName name="OSRRefH22_7x_0" localSheetId="64">'309'!$H$37:$H$38</definedName>
    <definedName name="OSRRefH22_7x_0" localSheetId="63">'310'!$H$57</definedName>
    <definedName name="OSRRefH22_7x_0" localSheetId="71">'310 &amp; 491'!$H$62</definedName>
    <definedName name="OSRRefH22_7x_0" localSheetId="52">'311'!$H$91</definedName>
    <definedName name="OSRRefH22_7x_0" localSheetId="65">'313'!$H$46</definedName>
    <definedName name="OSRRefH22_7x_0" localSheetId="57">'315'!$H$114:$H$115</definedName>
    <definedName name="OSRRefH22_7x_0" localSheetId="60">'316'!$H$57</definedName>
    <definedName name="OSRRefH22_7x_0" localSheetId="62">'317'!$H$81</definedName>
    <definedName name="OSRRefH22_7x_0" localSheetId="66">'321'!$H$50</definedName>
    <definedName name="OSRRefH22_7x_0" localSheetId="67">'322'!$H$40</definedName>
    <definedName name="OSRRefH22_7x_0" localSheetId="68">'325'!$H$48</definedName>
    <definedName name="OSRRefH22_7x_0" localSheetId="58">'326'!$H$76</definedName>
    <definedName name="OSRRefH22_7x_0" localSheetId="56">'331'!$H$113</definedName>
    <definedName name="OSRRefH22_7x_0" localSheetId="59">'332'!$H$59</definedName>
    <definedName name="OSRRefH22_7x_0" localSheetId="54">'333'!$H$115</definedName>
    <definedName name="OSRRefH22_7x_0" localSheetId="73">'405'!$H$49</definedName>
    <definedName name="OSRRefH22_7x_0" localSheetId="75">'411'!$H$46</definedName>
    <definedName name="OSRRefH22_7x_0" localSheetId="79">'415'!$H$49</definedName>
    <definedName name="OSRRefH22_7x_0" localSheetId="80">'418'!$H$46</definedName>
    <definedName name="OSRRefH22_7x_0" localSheetId="84">'425'!$H$41</definedName>
    <definedName name="OSRRefH22_7x_0" localSheetId="87">'430'!$H$42</definedName>
    <definedName name="OSRRefH22_7x_0" localSheetId="88">'433'!$H$51</definedName>
    <definedName name="OSRRefH22_7x_0" localSheetId="90">'444'!$H$51</definedName>
    <definedName name="OSRRefH22_7x_0" localSheetId="91">'450'!$H$51</definedName>
    <definedName name="OSRRefH22_7x_0" localSheetId="72">'491'!$H$53</definedName>
    <definedName name="OSRRefH22_7x_0" localSheetId="86">'492'!$H$52</definedName>
    <definedName name="OSRRefH22_7x_0" localSheetId="93">'501'!$H$49:$H$51</definedName>
    <definedName name="OSRRefH22_7x_0" localSheetId="39">'Div 2'!$H$49</definedName>
    <definedName name="OSRRefH22_7x_0" localSheetId="47">'Div 3'!$H$162</definedName>
    <definedName name="OSRRefH22_7x_0" localSheetId="70">'Div 4'!$H$56</definedName>
    <definedName name="OSRRefH22_7x_0" localSheetId="92">'Div 5'!$H$49:$H$51</definedName>
    <definedName name="OSRRefH22_7x_0" localSheetId="61">'Div 6'!$H$81</definedName>
    <definedName name="OSRRefH22_7x_0" localSheetId="2">Summary!$H$189</definedName>
    <definedName name="OSRRefH22_8x_0" localSheetId="41">'201'!$H$45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'300'!$H$159</definedName>
    <definedName name="OSRRefH22_8x_0" localSheetId="49">'300 &amp; 317'!$H$182</definedName>
    <definedName name="OSRRefH22_8x_0" localSheetId="50">'301'!$H$55</definedName>
    <definedName name="OSRRefH22_8x_0" localSheetId="55">'307'!$H$65:$H$66</definedName>
    <definedName name="OSRRefH22_8x_0" localSheetId="51">'308'!$H$93</definedName>
    <definedName name="OSRRefH22_8x_0" localSheetId="64">'309'!$H$40</definedName>
    <definedName name="OSRRefH22_8x_0" localSheetId="63">'310'!$H$59</definedName>
    <definedName name="OSRRefH22_8x_0" localSheetId="71">'310 &amp; 491'!$H$64:$H$65</definedName>
    <definedName name="OSRRefH22_8x_0" localSheetId="52">'311'!$H$93</definedName>
    <definedName name="OSRRefH22_8x_0" localSheetId="57">'315'!$H$117</definedName>
    <definedName name="OSRRefH22_8x_0" localSheetId="60">'316'!$H$59:$H$61</definedName>
    <definedName name="OSRRefH22_8x_0" localSheetId="62">'317'!$H$83:$H$85</definedName>
    <definedName name="OSRRefH22_8x_0" localSheetId="66">'321'!$H$52:$H$53</definedName>
    <definedName name="OSRRefH22_8x_0" localSheetId="68">'325'!$H$50</definedName>
    <definedName name="OSRRefH22_8x_0" localSheetId="58">'326'!$H$78</definedName>
    <definedName name="OSRRefH22_8x_0" localSheetId="56">'331'!$H$115:$H$116</definedName>
    <definedName name="OSRRefH22_8x_0" localSheetId="59">'332'!$H$61:$H$63</definedName>
    <definedName name="OSRRefH22_8x_0" localSheetId="54">'333'!$H$117:$H$118</definedName>
    <definedName name="OSRRefH22_8x_0" localSheetId="73">'405'!$H$51</definedName>
    <definedName name="OSRRefH22_8x_0" localSheetId="75">'411'!$H$48</definedName>
    <definedName name="OSRRefH22_8x_0" localSheetId="79">'415'!$H$51</definedName>
    <definedName name="OSRRefH22_8x_0" localSheetId="80">'418'!$H$48:$H$49</definedName>
    <definedName name="OSRRefH22_8x_0" localSheetId="84">'425'!$H$43</definedName>
    <definedName name="OSRRefH22_8x_0" localSheetId="87">'430'!$H$44</definedName>
    <definedName name="OSRRefH22_8x_0" localSheetId="88">'433'!$H$53</definedName>
    <definedName name="OSRRefH22_8x_0" localSheetId="90">'444'!$H$53</definedName>
    <definedName name="OSRRefH22_8x_0" localSheetId="91">'450'!$H$53</definedName>
    <definedName name="OSRRefH22_8x_0" localSheetId="72">'491'!$H$55</definedName>
    <definedName name="OSRRefH22_8x_0" localSheetId="86">'492'!$H$54</definedName>
    <definedName name="OSRRefH22_8x_0" localSheetId="93">'501'!$H$53:$H$54</definedName>
    <definedName name="OSRRefH22_8x_0" localSheetId="39">'Div 2'!$H$51</definedName>
    <definedName name="OSRRefH22_8x_0" localSheetId="47">'Div 3'!$H$164</definedName>
    <definedName name="OSRRefH22_8x_0" localSheetId="70">'Div 4'!$H$58</definedName>
    <definedName name="OSRRefH22_8x_0" localSheetId="92">'Div 5'!$H$53:$H$54</definedName>
    <definedName name="OSRRefH22_8x_0" localSheetId="61">'Div 6'!$H$83:$H$85</definedName>
    <definedName name="OSRRefH22_8x_0" localSheetId="2">Summary!$H$191</definedName>
    <definedName name="OSRRefH22_9x_0" localSheetId="41">'201'!$H$47:$H$49</definedName>
    <definedName name="OSRRefH22_9x_0" localSheetId="42">'202'!$H$50:$H$51</definedName>
    <definedName name="OSRRefH22_9x_0" localSheetId="43">'203'!$H$53</definedName>
    <definedName name="OSRRefH22_9x_0" localSheetId="44">'204'!$H$52</definedName>
    <definedName name="OSRRefH22_9x_0" localSheetId="48">'300'!$H$161</definedName>
    <definedName name="OSRRefH22_9x_0" localSheetId="49">'300 &amp; 317'!$H$184</definedName>
    <definedName name="OSRRefH22_9x_0" localSheetId="50">'301'!$H$57</definedName>
    <definedName name="OSRRefH22_9x_0" localSheetId="55">'307'!$H$68:$H$69</definedName>
    <definedName name="OSRRefH22_9x_0" localSheetId="51">'308'!$H$95:$H$97</definedName>
    <definedName name="OSRRefH22_9x_0" localSheetId="63">'310'!$H$61</definedName>
    <definedName name="OSRRefH22_9x_0" localSheetId="71">'310 &amp; 491'!$H$67</definedName>
    <definedName name="OSRRefH22_9x_0" localSheetId="52">'311'!$H$95:$H$97</definedName>
    <definedName name="OSRRefH22_9x_0" localSheetId="57">'315'!$H$119:$H$120</definedName>
    <definedName name="OSRRefH22_9x_0" localSheetId="60">'316'!$H$63</definedName>
    <definedName name="OSRRefH22_9x_0" localSheetId="62">'317'!$H$87</definedName>
    <definedName name="OSRRefH22_9x_0" localSheetId="66">'321'!$H$55:$H$59</definedName>
    <definedName name="OSRRefH22_9x_0" localSheetId="68">'325'!$H$52</definedName>
    <definedName name="OSRRefH22_9x_0" localSheetId="58">'326'!$H$80</definedName>
    <definedName name="OSRRefH22_9x_0" localSheetId="56">'331'!$H$118</definedName>
    <definedName name="OSRRefH22_9x_0" localSheetId="59">'332'!$H$65</definedName>
    <definedName name="OSRRefH22_9x_0" localSheetId="54">'333'!$H$120</definedName>
    <definedName name="OSRRefH22_9x_0" localSheetId="73">'405'!$H$53</definedName>
    <definedName name="OSRRefH22_9x_0" localSheetId="75">'411'!$H$50:$H$52</definedName>
    <definedName name="OSRRefH22_9x_0" localSheetId="79">'415'!$H$53</definedName>
    <definedName name="OSRRefH22_9x_0" localSheetId="80">'418'!$H$51</definedName>
    <definedName name="OSRRefH22_9x_0" localSheetId="88">'433'!$H$55</definedName>
    <definedName name="OSRRefH22_9x_0" localSheetId="90">'444'!$H$55</definedName>
    <definedName name="OSRRefH22_9x_0" localSheetId="91">'450'!$H$55</definedName>
    <definedName name="OSRRefH22_9x_0" localSheetId="72">'491'!$H$57</definedName>
    <definedName name="OSRRefH22_9x_0" localSheetId="86">'492'!$H$56</definedName>
    <definedName name="OSRRefH22_9x_0" localSheetId="93">'501'!$H$56</definedName>
    <definedName name="OSRRefH22_9x_0" localSheetId="39">'Div 2'!$H$53:$H$54</definedName>
    <definedName name="OSRRefH22_9x_0" localSheetId="47">'Div 3'!$H$166</definedName>
    <definedName name="OSRRefH22_9x_0" localSheetId="70">'Div 4'!$H$60</definedName>
    <definedName name="OSRRefH22_9x_0" localSheetId="92">'Div 5'!$H$56</definedName>
    <definedName name="OSRRefH22_9x_0" localSheetId="61">'Div 6'!$H$87</definedName>
    <definedName name="OSRRefH22_9x_0" localSheetId="2">Summary!$H$193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'201'!$H$20:$H$27,'201'!$H$29:$H$31,'201'!$H$33,'201'!$H$35,'201'!$H$37,'201'!$H$39,'201'!$H$41,'201'!$H$43,'201'!$H$45,'201'!$H$47:$H$49,'201'!$H$51:$H$52,'201'!$H$54,'201'!$H$56:$H$57,'201'!$H$59,'201'!$H$61</definedName>
    <definedName name="OSRRefH22x_0" localSheetId="42">'202'!$H$20:$H$27,'202'!$H$29:$H$31,'202'!$H$33,'202'!$H$35,'202'!$H$37,'202'!$H$39:$H$40,'202'!$H$42,'202'!$H$44:$H$46,'202'!$H$48,'202'!$H$50:$H$51,'202'!$H$53,'202'!$H$55,'202'!$H$57</definedName>
    <definedName name="OSRRefH22x_0" localSheetId="43">'203'!$H$20:$H$29,'203'!$H$31:$H$35,'203'!$H$37,'203'!$H$39,'203'!$H$41,'203'!$H$43,'203'!$H$45,'203'!$H$47:$H$48,'203'!$H$50:$H$51,'203'!$H$53,'203'!$H$55:$H$58,'203'!$H$60,'203'!$H$62,'203'!$H$64</definedName>
    <definedName name="OSRRefH22x_0" localSheetId="44">'204'!$H$20:$H$28,'204'!$H$30:$H$32,'204'!$H$34,'204'!$H$36,'204'!$H$38,'204'!$H$40:$H$43,'204'!$H$45,'204'!$H$47:$H$48,'204'!$H$50,'204'!$H$52</definedName>
    <definedName name="OSRRefH22x_0" localSheetId="45">'205'!$H$20:$H$27,'205'!$H$29,'205'!$H$31,'205'!$H$33,'205'!$H$35:$H$36,'205'!$H$38:$H$40,'205'!$H$42</definedName>
    <definedName name="OSRRefH22x_0" localSheetId="46">'206'!$H$20:$H$27,'206'!$H$29:$H$31,'206'!$H$33,'206'!$H$35,'206'!$H$37,'206'!$H$39,'206'!$H$41</definedName>
    <definedName name="OSRRefH22x_0" localSheetId="48">'300'!$H$125:$H$134,'300'!$H$136:$H$142,'300'!$H$144,'300'!$H$146:$H$147,'300'!$H$149,'300'!$H$151:$H$152,'300'!$H$154:$H$155,'300'!$H$157,'300'!$H$159,'300'!$H$161,'300'!$H$163:$H$164,'300'!$H$166,'300'!$H$168,'300'!$H$170:$H$171,'300'!$H$173,'300'!$H$175,'300'!$H$177:$H$180,'300'!$H$182:$H$184,'300'!$H$186:$H$189,'300'!$H$191:$H$192,'300'!$H$194:$H$200,'300'!$H$202:$H$203,'300'!$H$205,'300'!$H$207:$H$209,'300'!$H$211</definedName>
    <definedName name="OSRRefH22x_0" localSheetId="49">'300 &amp; 317'!$H$148:$H$157,'300 &amp; 317'!$H$159:$H$165,'300 &amp; 317'!$H$167,'300 &amp; 317'!$H$169:$H$170,'300 &amp; 317'!$H$172,'300 &amp; 317'!$H$174:$H$175,'300 &amp; 317'!$H$177:$H$178,'300 &amp; 317'!$H$180,'300 &amp; 317'!$H$182,'300 &amp; 317'!$H$184,'300 &amp; 317'!$H$186:$H$187,'300 &amp; 317'!$H$189,'300 &amp; 317'!$H$191,'300 &amp; 317'!$H$193:$H$194,'300 &amp; 317'!$H$196,'300 &amp; 317'!$H$198,'300 &amp; 317'!$H$200:$H$203,'300 &amp; 317'!$H$205:$H$207,'300 &amp; 317'!$H$209:$H$212,'300 &amp; 317'!$H$214:$H$215,'300 &amp; 317'!$H$217:$H$223,'300 &amp; 317'!$H$225:$H$226,'300 &amp; 317'!$H$228,'300 &amp; 317'!$H$230:$H$232,'300 &amp; 317'!$H$234</definedName>
    <definedName name="OSRRefH22x_0" localSheetId="50">'301'!$H$21:$H$30,'301'!$H$32:$H$38,'301'!$H$40,'301'!$H$42:$H$43,'301'!$H$45,'301'!$H$47:$H$48,'301'!$H$50:$H$51,'301'!$H$53,'301'!$H$55,'301'!$H$57,'301'!$H$59,'301'!$H$61,'301'!$H$63,'301'!$H$65,'301'!$H$67,'301'!$H$69:$H$72,'301'!$H$74:$H$76,'301'!$H$78,'301'!$H$80:$H$85,'301'!$H$87,'301'!$H$89,'301'!$H$91:$H$92,'301'!$H$94</definedName>
    <definedName name="OSRRefH22x_0" localSheetId="55">'307'!$H$43:$H$45,'307'!$H$47:$H$50,'307'!$H$52,'307'!$H$54,'307'!$H$56:$H$57,'307'!$H$59,'307'!$H$61,'307'!$H$63,'307'!$H$65:$H$66,'307'!$H$68:$H$69,'307'!$H$71:$H$74,'307'!$H$76,'307'!$H$78</definedName>
    <definedName name="OSRRefH22x_0" localSheetId="51">'308'!$H$61:$H$69,'308'!$H$71:$H$77,'308'!$H$79,'308'!$H$81:$H$82,'308'!$H$84,'308'!$H$86,'308'!$H$88:$H$89,'308'!$H$91,'308'!$H$93,'308'!$H$95:$H$97,'308'!$H$99:$H$100,'308'!$H$102:$H$103,'308'!$H$105:$H$106,'308'!$H$108</definedName>
    <definedName name="OSRRefH22x_0" localSheetId="64">'309'!$H$21,'309'!$H$23,'309'!$H$25,'309'!$H$27,'309'!$H$29,'309'!$H$31:$H$32,'309'!$H$34:$H$35,'309'!$H$37:$H$38,'309'!$H$40</definedName>
    <definedName name="OSRRefH22x_0" localSheetId="63">'310'!$H$31:$H$39,'310'!$H$41:$H$44,'310'!$H$46,'310'!$H$48,'310'!$H$50,'310'!$H$52:$H$53,'310'!$H$55,'310'!$H$57,'310'!$H$59,'310'!$H$61,'310'!$H$63,'310'!$H$65:$H$66,'310'!$H$68,'310'!$H$70:$H$73,'310'!$H$75:$H$80,'310'!$H$82,'310'!$H$84</definedName>
    <definedName name="OSRRefH22x_0" localSheetId="71">'310 &amp; 491'!$H$35:$H$43,'310 &amp; 491'!$H$45:$H$49,'310 &amp; 491'!$H$51,'310 &amp; 491'!$H$53,'310 &amp; 491'!$H$55,'310 &amp; 491'!$H$57:$H$58,'310 &amp; 491'!$H$60,'310 &amp; 491'!$H$62,'310 &amp; 491'!$H$64:$H$65,'310 &amp; 491'!$H$67,'310 &amp; 491'!$H$69,'310 &amp; 491'!$H$71,'310 &amp; 491'!$H$73,'310 &amp; 491'!$H$75:$H$77,'310 &amp; 491'!$H$79,'310 &amp; 491'!$H$81:$H$84,'310 &amp; 491'!$H$86,'310 &amp; 491'!$H$88:$H$96,'310 &amp; 491'!$H$98,'310 &amp; 491'!$H$100,'310 &amp; 491'!$H$102:$H$103,'310 &amp; 491'!$H$105</definedName>
    <definedName name="OSRRefH22x_0" localSheetId="52">'311'!$H$61:$H$69,'311'!$H$71:$H$77,'311'!$H$79,'311'!$H$81:$H$82,'311'!$H$84,'311'!$H$86,'311'!$H$88:$H$89,'311'!$H$91,'311'!$H$93,'311'!$H$95:$H$97,'311'!$H$99:$H$100,'311'!$H$102:$H$103,'311'!$H$105:$H$106,'311'!$H$108</definedName>
    <definedName name="OSRRefH22x_0" localSheetId="65">'313'!$H$25:$H$32,'313'!$H$34,'313'!$H$36,'313'!$H$38,'313'!$H$40,'313'!$H$42,'313'!$H$44,'313'!$H$46</definedName>
    <definedName name="OSRRefH22x_0" localSheetId="57">'315'!$H$87:$H$94,'315'!$H$96:$H$100,'315'!$H$102,'315'!$H$104:$H$105,'315'!$H$107,'315'!$H$109,'315'!$H$111:$H$112,'315'!$H$114:$H$115,'315'!$H$117,'315'!$H$119:$H$120,'315'!$H$122:$H$123,'315'!$H$125:$H$126,'315'!$H$128:$H$132,'315'!$H$134,'315'!$H$136</definedName>
    <definedName name="OSRRefH22x_0" localSheetId="60">'316'!$H$33:$H$40,'316'!$H$42:$H$44,'316'!$H$46,'316'!$H$48,'316'!$H$50,'316'!$H$52,'316'!$H$54:$H$55,'316'!$H$57,'316'!$H$59:$H$61,'316'!$H$63,'316'!$H$65:$H$69,'316'!$H$71,'316'!$H$73</definedName>
    <definedName name="OSRRefH22x_0" localSheetId="62">'317'!$H$54:$H$62,'317'!$H$64:$H$68,'317'!$H$70,'317'!$H$72,'317'!$H$74,'317'!$H$76:$H$77,'317'!$H$79,'317'!$H$81,'317'!$H$83:$H$85,'317'!$H$87,'317'!$H$89</definedName>
    <definedName name="OSRRefH22x_0" localSheetId="66">'321'!$H$24:$H$32,'321'!$H$34:$H$37,'321'!$H$39,'321'!$H$41,'321'!$H$43,'321'!$H$45,'321'!$H$47:$H$48,'321'!$H$50,'321'!$H$52:$H$53,'321'!$H$55:$H$59,'321'!$H$61,'321'!$H$63</definedName>
    <definedName name="OSRRefH22x_0" localSheetId="67">'322'!$H$21:$H$25,'322'!$H$27,'322'!$H$29,'322'!$H$31,'322'!$H$33:$H$34,'322'!$H$36,'322'!$H$38,'322'!$H$40</definedName>
    <definedName name="OSRRefH22x_0" localSheetId="68">'325'!$H$24:$H$31,'325'!$H$33:$H$35,'325'!$H$37,'325'!$H$39,'325'!$H$41,'325'!$H$43:$H$44,'325'!$H$46,'325'!$H$48,'325'!$H$50,'325'!$H$52,'325'!$H$54:$H$55,'325'!$H$57:$H$60,'325'!$H$62:$H$66,'325'!$H$68,'325'!$H$70</definedName>
    <definedName name="OSRRefH22x_0" localSheetId="58">'326'!$H$51:$H$58,'326'!$H$60:$H$64,'326'!$H$66,'326'!$H$68,'326'!$H$70,'326'!$H$72,'326'!$H$74,'326'!$H$76,'326'!$H$78,'326'!$H$80,'326'!$H$82,'326'!$H$84:$H$86,'326'!$H$88:$H$90,'326'!$H$92:$H$93,'326'!$H$95:$H$98,'326'!$H$100,'326'!$H$102,'326'!$H$104</definedName>
    <definedName name="OSRRefH22x_0" localSheetId="69">'327'!$H$24,'327'!$H$26</definedName>
    <definedName name="OSRRefH22x_0" localSheetId="56">'331'!$H$87:$H$94,'331'!$H$96:$H$100,'331'!$H$102,'331'!$H$104,'331'!$H$106,'331'!$H$108:$H$109,'331'!$H$111,'331'!$H$113,'331'!$H$115:$H$116,'331'!$H$118,'331'!$H$120,'331'!$H$122:$H$123,'331'!$H$125,'331'!$H$127,'331'!$H$129:$H$131,'331'!$H$133:$H$134,'331'!$H$136:$H$138,'331'!$H$140:$H$141,'331'!$H$143:$H$148,'331'!$H$150,'331'!$H$152,'331'!$H$154</definedName>
    <definedName name="OSRRefH22x_0" localSheetId="59">'332'!$H$35:$H$42,'332'!$H$44:$H$46,'332'!$H$48,'332'!$H$50,'332'!$H$52,'332'!$H$54,'332'!$H$56:$H$57,'332'!$H$59,'332'!$H$61:$H$63,'332'!$H$65,'332'!$H$67:$H$71,'332'!$H$73,'332'!$H$75</definedName>
    <definedName name="OSRRefH22x_0" localSheetId="54">'333'!$H$89:$H$96,'333'!$H$98:$H$102,'333'!$H$104,'333'!$H$106,'333'!$H$108,'333'!$H$110:$H$111,'333'!$H$113,'333'!$H$115,'333'!$H$117:$H$118,'333'!$H$120,'333'!$H$122,'333'!$H$124:$H$125,'333'!$H$127,'333'!$H$129,'333'!$H$131:$H$133,'333'!$H$135:$H$136,'333'!$H$138:$H$141,'333'!$H$143:$H$144,'333'!$H$146:$H$151,'333'!$H$153,'333'!$H$155,'333'!$H$157,'333'!$H$159</definedName>
    <definedName name="OSRRefH22x_0" localSheetId="73">'405'!$H$24:$H$31,'405'!$H$33:$H$36,'405'!$H$38,'405'!$H$40,'405'!$H$42,'405'!$H$44:$H$45,'405'!$H$47,'405'!$H$49,'405'!$H$51,'405'!$H$53,'405'!$H$55:$H$56,'405'!$H$58:$H$61,'405'!$H$63,'405'!$H$65:$H$72,'405'!$H$74,'405'!$H$76</definedName>
    <definedName name="OSRRefH22x_0" localSheetId="74">'406'!$H$20,'406'!$H$22,'406'!$H$24,'406'!$H$26,'406'!$H$28</definedName>
    <definedName name="OSRRefH22x_0" localSheetId="75">'411'!$H$20:$H$27,'411'!$H$29:$H$33,'411'!$H$35,'411'!$H$37:$H$38,'411'!$H$40,'411'!$H$42,'411'!$H$44,'411'!$H$46,'411'!$H$48,'411'!$H$50:$H$52,'411'!$H$54:$H$56,'411'!$H$58:$H$59,'411'!$H$61,'411'!$H$63:$H$64,'411'!$H$66</definedName>
    <definedName name="OSRRefH22x_0" localSheetId="76">'412'!$H$20,'412'!$H$22,'412'!$H$24:$H$25,'412'!$H$27,'412'!$H$29</definedName>
    <definedName name="OSRRefH22x_0" localSheetId="77">'413'!$H$20:$H$24,'413'!$H$26,'413'!$H$28,'413'!$H$30,'413'!$H$32,'413'!$H$34</definedName>
    <definedName name="OSRRefH22x_0" localSheetId="78">'414'!$H$21,'414'!$H$23,'414'!$H$25,'414'!$H$27,'414'!$H$29:$H$30</definedName>
    <definedName name="OSRRefH22x_0" localSheetId="79">'415'!$H$24:$H$31,'415'!$H$33:$H$36,'415'!$H$38,'415'!$H$40,'415'!$H$42,'415'!$H$44:$H$45,'415'!$H$47,'415'!$H$49,'415'!$H$51,'415'!$H$53,'415'!$H$55,'415'!$H$57:$H$58,'415'!$H$60:$H$63,'415'!$H$65,'415'!$H$67:$H$72,'415'!$H$74,'415'!$H$76,'415'!$H$78</definedName>
    <definedName name="OSRRefH22x_0" localSheetId="80">'418'!$H$21:$H$28,'418'!$H$30:$H$33,'418'!$H$35,'418'!$H$37,'418'!$H$39:$H$40,'418'!$H$42,'418'!$H$44,'418'!$H$46,'418'!$H$48:$H$49,'418'!$H$51,'418'!$H$53,'418'!$H$55:$H$59,'418'!$H$61</definedName>
    <definedName name="OSRRefH22x_0" localSheetId="81">'420'!$H$21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'425'!$H$22:$H$26,'425'!$H$28,'425'!$H$30,'425'!$H$32,'425'!$H$34,'425'!$H$36:$H$37,'425'!$H$39,'425'!$H$41,'425'!$H$43</definedName>
    <definedName name="OSRRefH22x_0" localSheetId="87">'430'!$H$20:$H$27,'430'!$H$29,'430'!$H$31,'430'!$H$33,'430'!$H$35,'430'!$H$37:$H$38,'430'!$H$40,'430'!$H$42,'430'!$H$44</definedName>
    <definedName name="OSRRefH22x_0" localSheetId="88">'433'!$H$25:$H$33,'433'!$H$35:$H$39,'433'!$H$41,'433'!$H$43,'433'!$H$45,'433'!$H$47,'433'!$H$49,'433'!$H$51,'433'!$H$53,'433'!$H$55,'433'!$H$57,'433'!$H$59:$H$60,'433'!$H$62:$H$64,'433'!$H$66:$H$73,'433'!$H$75</definedName>
    <definedName name="OSRRefH22x_0" localSheetId="89">'435'!$H$20,'435'!$H$22</definedName>
    <definedName name="OSRRefH22x_0" localSheetId="90">'444'!$H$25:$H$33,'444'!$H$35:$H$39,'444'!$H$41,'444'!$H$43,'444'!$H$45,'444'!$H$47,'444'!$H$49,'444'!$H$51,'444'!$H$53,'444'!$H$55,'444'!$H$57,'444'!$H$59:$H$60,'444'!$H$62:$H$65,'444'!$H$67,'444'!$H$69:$H$76,'444'!$H$78,'444'!$H$80</definedName>
    <definedName name="OSRRefH22x_0" localSheetId="91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2">'491'!$H$27:$H$34,'491'!$H$36:$H$40,'491'!$H$42,'491'!$H$44,'491'!$H$46,'491'!$H$48:$H$49,'491'!$H$51,'491'!$H$53,'491'!$H$55,'491'!$H$57,'491'!$H$59,'491'!$H$61,'491'!$H$63,'491'!$H$65:$H$67,'491'!$H$69,'491'!$H$71:$H$74,'491'!$H$76,'491'!$H$78:$H$86,'491'!$H$88,'491'!$H$90,'491'!$H$92:$H$93,'491'!$H$95</definedName>
    <definedName name="OSRRefH22x_0" localSheetId="86">'492'!$H$25:$H$33,'492'!$H$35:$H$40,'492'!$H$42,'492'!$H$44,'492'!$H$46,'492'!$H$48,'492'!$H$50,'492'!$H$52,'492'!$H$54,'492'!$H$56,'492'!$H$58,'492'!$H$60,'492'!$H$62:$H$64,'492'!$H$66:$H$69,'492'!$H$71,'492'!$H$73:$H$80,'492'!$H$82,'492'!$H$84,'492'!$H$86:$H$87</definedName>
    <definedName name="OSRRefH22x_0" localSheetId="93">'501'!$H$21:$H$29,'501'!$H$31:$H$36,'501'!$H$38,'501'!$H$40,'501'!$H$42:$H$43,'501'!$H$45,'501'!$H$47,'501'!$H$49:$H$51,'501'!$H$53:$H$54,'501'!$H$56,'501'!$H$58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2'!$H$71,'Div 2'!$H$73:$H$77,'Div 2'!$H$79:$H$80,'Div 2'!$H$82,'Div 2'!$H$84:$H$85</definedName>
    <definedName name="OSRRefH22x_0" localSheetId="47">'Div 3'!$H$130:$H$139,'Div 3'!$H$141:$H$147,'Div 3'!$H$149,'Div 3'!$H$151:$H$152,'Div 3'!$H$154,'Div 3'!$H$156:$H$157,'Div 3'!$H$159:$H$160,'Div 3'!$H$162,'Div 3'!$H$164,'Div 3'!$H$166,'Div 3'!$H$168:$H$169,'Div 3'!$H$171,'Div 3'!$H$173,'Div 3'!$H$175,'Div 3'!$H$177:$H$178,'Div 3'!$H$180,'Div 3'!$H$182,'Div 3'!$H$184:$H$187,'Div 3'!$H$189:$H$191,'Div 3'!$H$193:$H$197,'Div 3'!$H$199:$H$200,'Div 3'!$H$202:$H$208,'Div 3'!$H$210:$H$211,'Div 3'!$H$213,'Div 3'!$H$215:$H$217,'Div 3'!$H$219</definedName>
    <definedName name="OSRRefH22x_0" localSheetId="70">'Div 4'!$H$28:$H$36,'Div 4'!$H$38:$H$43,'Div 4'!$H$45,'Div 4'!$H$47,'Div 4'!$H$49,'Div 4'!$H$51:$H$52,'Div 4'!$H$54,'Div 4'!$H$56,'Div 4'!$H$58,'Div 4'!$H$60,'Div 4'!$H$62,'Div 4'!$H$64,'Div 4'!$H$66,'Div 4'!$H$68,'Div 4'!$H$70,'Div 4'!$H$72:$H$74,'Div 4'!$H$76,'Div 4'!$H$78:$H$81,'Div 4'!$H$83:$H$84,'Div 4'!$H$86:$H$94,'Div 4'!$H$96,'Div 4'!$H$98,'Div 4'!$H$100:$H$101,'Div 4'!$H$103</definedName>
    <definedName name="OSRRefH22x_0" localSheetId="92">'Div 5'!$H$21:$H$29,'Div 5'!$H$31:$H$36,'Div 5'!$H$38,'Div 5'!$H$40,'Div 5'!$H$42:$H$43,'Div 5'!$H$45,'Div 5'!$H$47,'Div 5'!$H$49:$H$51,'Div 5'!$H$53:$H$54,'Div 5'!$H$56,'Div 5'!$H$58</definedName>
    <definedName name="OSRRefH22x_0" localSheetId="61">'Div 6'!$H$54:$H$62,'Div 6'!$H$64:$H$68,'Div 6'!$H$70,'Div 6'!$H$72,'Div 6'!$H$74,'Div 6'!$H$76:$H$77,'Div 6'!$H$79,'Div 6'!$H$81,'Div 6'!$H$83:$H$85,'Div 6'!$H$87,'Div 6'!$H$89</definedName>
    <definedName name="OSRRefH22x_0" localSheetId="2">Summary!$H$157:$H$166,Summary!$H$168:$H$174,Summary!$H$176,Summary!$H$178:$H$179,Summary!$H$181,Summary!$H$183:$H$184,Summary!$H$186:$H$187,Summary!$H$189,Summary!$H$191,Summary!$H$193,Summary!$H$195:$H$196,Summary!$H$198,Summary!$H$200,Summary!$H$202,Summary!$H$204:$H$205,Summary!$H$207,Summary!$H$209,Summary!$H$211,Summary!$H$213:$H$216,Summary!$H$218:$H$220,Summary!$H$222:$H$226,Summary!$H$228:$H$229,Summary!$H$231:$H$239,Summary!$H$241:$H$242,Summary!$H$244,Summary!$H$246:$H$248,Summary!$H$250</definedName>
    <definedName name="OSRRefH25x_0" localSheetId="48">'300'!$H$214:$H$217</definedName>
    <definedName name="OSRRefH25x_0" localSheetId="49">'300 &amp; 317'!$H$237:$H$242</definedName>
    <definedName name="OSRRefH25x_0" localSheetId="50">'301'!$H$97</definedName>
    <definedName name="OSRRefH25x_0" localSheetId="51">'308'!$H$111:$H$113</definedName>
    <definedName name="OSRRefH25x_0" localSheetId="71">'310 &amp; 491'!$H$108:$H$110</definedName>
    <definedName name="OSRRefH25x_0" localSheetId="52">'311'!$H$111:$H$113</definedName>
    <definedName name="OSRRefH25x_0" localSheetId="57">'315'!$H$139:$H$140</definedName>
    <definedName name="OSRRefH25x_0" localSheetId="60">'316'!$H$76</definedName>
    <definedName name="OSRRefH25x_0" localSheetId="62">'317'!$H$92:$H$94</definedName>
    <definedName name="OSRRefH25x_0" localSheetId="56">'331'!$H$157:$H$158</definedName>
    <definedName name="OSRRefH25x_0" localSheetId="59">'332'!$H$78:$H$79</definedName>
    <definedName name="OSRRefH25x_0" localSheetId="54">'333'!$H$162:$H$163</definedName>
    <definedName name="OSRRefH25x_0" localSheetId="73">'405'!$H$79</definedName>
    <definedName name="OSRRefH25x_0" localSheetId="75">'411'!$H$69:$H$70</definedName>
    <definedName name="OSRRefH25x_0" localSheetId="79">'415'!$H$81</definedName>
    <definedName name="OSRRefH25x_0" localSheetId="80">'418'!$H$64</definedName>
    <definedName name="OSRRefH25x_0" localSheetId="82">'423'!$H$30</definedName>
    <definedName name="OSRRefH25x_0" localSheetId="85">'455'!$H$21:$H$22</definedName>
    <definedName name="OSRRefH25x_0" localSheetId="72">'491'!$H$98:$H$100</definedName>
    <definedName name="OSRRefH25x_0" localSheetId="93">'501'!$H$61</definedName>
    <definedName name="OSRRefH25x_0" localSheetId="47">'Div 3'!$H$222:$H$225</definedName>
    <definedName name="OSRRefH25x_0" localSheetId="70">'Div 4'!$H$106:$H$108</definedName>
    <definedName name="OSRRefH25x_0" localSheetId="92">'Div 5'!$H$61</definedName>
    <definedName name="OSRRefH25x_0" localSheetId="61">'Div 6'!$H$92:$H$94</definedName>
    <definedName name="OSRRefH25x_0" localSheetId="2">Summary!$H$253:$H$260</definedName>
    <definedName name="OSRRefP13x_0" localSheetId="48">'300'!$P$13:$P$77</definedName>
    <definedName name="OSRRefP13x_0" localSheetId="49">'300 &amp; 317'!$P$13:$P$91</definedName>
    <definedName name="OSRRefP13x_0" localSheetId="55">'307'!$P$13:$P$25</definedName>
    <definedName name="OSRRefP13x_0" localSheetId="51">'308'!$P$13:$P$36</definedName>
    <definedName name="OSRRefP13x_0" localSheetId="63">'310'!$P$13:$P$21</definedName>
    <definedName name="OSRRefP13x_0" localSheetId="71">'310 &amp; 491'!$P$13:$P$25</definedName>
    <definedName name="OSRRefP13x_0" localSheetId="52">'311'!$P$13:$P$36</definedName>
    <definedName name="OSRRefP13x_0" localSheetId="65">'313'!$P$13:$P$16</definedName>
    <definedName name="OSRRefP13x_0" localSheetId="57">'315'!$P$13:$P$54</definedName>
    <definedName name="OSRRefP13x_0" localSheetId="60">'316'!$P$13:$P$24</definedName>
    <definedName name="OSRRefP13x_0" localSheetId="62">'317'!$P$13:$P$33</definedName>
    <definedName name="OSRRefP13x_0" localSheetId="66">'321'!$P$13:$P$14</definedName>
    <definedName name="OSRRefP13x_0" localSheetId="53">'324'!$P$13:$P$16</definedName>
    <definedName name="OSRRefP13x_0" localSheetId="68">'325'!$P$13:$P$14</definedName>
    <definedName name="OSRRefP13x_0" localSheetId="58">'326'!$P$13:$P$36</definedName>
    <definedName name="OSRRefP13x_0" localSheetId="69">'327'!$P$13:$P$14</definedName>
    <definedName name="OSRRefP13x_0" localSheetId="56">'331'!$P$13:$P$54</definedName>
    <definedName name="OSRRefP13x_0" localSheetId="59">'332'!$P$13:$P$24</definedName>
    <definedName name="OSRRefP13x_0" localSheetId="54">'333'!$P$13:$P$56</definedName>
    <definedName name="OSRRefP13x_0" localSheetId="73">'405'!$P$13:$P$14</definedName>
    <definedName name="OSRRefP13x_0" localSheetId="78">'414'!$P$13</definedName>
    <definedName name="OSRRefP13x_0" localSheetId="79">'415'!$P$13:$P$14</definedName>
    <definedName name="OSRRefP13x_0" localSheetId="81">'420'!$P$13</definedName>
    <definedName name="OSRRefP13x_0" localSheetId="84">'425'!$P$13</definedName>
    <definedName name="OSRRefP13x_0" localSheetId="88">'433'!$P$13:$P$15</definedName>
    <definedName name="OSRRefP13x_0" localSheetId="90">'444'!$P$13:$P$15</definedName>
    <definedName name="OSRRefP13x_0" localSheetId="91">'450'!$P$13:$P$15</definedName>
    <definedName name="OSRRefP13x_0" localSheetId="72">'491'!$P$13:$P$17</definedName>
    <definedName name="OSRRefP13x_0" localSheetId="86">'492'!$P$13:$P$15</definedName>
    <definedName name="OSRRefP13x_0" localSheetId="93">'501'!$P$13</definedName>
    <definedName name="OSRRefP13x_0" localSheetId="47">'Div 3'!$P$13:$P$80</definedName>
    <definedName name="OSRRefP13x_0" localSheetId="70">'Div 4'!$P$13:$P$18</definedName>
    <definedName name="OSRRefP13x_0" localSheetId="92">'Div 5'!$P$13</definedName>
    <definedName name="OSRRefP13x_0" localSheetId="61">'Div 6'!$P$13:$P$33</definedName>
    <definedName name="OSRRefP13x_0" localSheetId="2">Summary!$P$13:$P$98</definedName>
    <definedName name="OSRRefP16x_0" localSheetId="48">'300'!$P$80:$P$119</definedName>
    <definedName name="OSRRefP16x_0" localSheetId="49">'300 &amp; 317'!$P$94:$P$142</definedName>
    <definedName name="OSRRefP16x_0" localSheetId="50">'301'!$P$15</definedName>
    <definedName name="OSRRefP16x_0" localSheetId="55">'307'!$P$28:$P$37</definedName>
    <definedName name="OSRRefP16x_0" localSheetId="51">'308'!$P$39:$P$55</definedName>
    <definedName name="OSRRefP16x_0" localSheetId="64">'309'!$P$15</definedName>
    <definedName name="OSRRefP16x_0" localSheetId="63">'310'!$P$24:$P$25</definedName>
    <definedName name="OSRRefP16x_0" localSheetId="71">'310 &amp; 491'!$P$28:$P$29</definedName>
    <definedName name="OSRRefP16x_0" localSheetId="52">'311'!$P$39:$P$55</definedName>
    <definedName name="OSRRefP16x_0" localSheetId="65">'313'!$P$19</definedName>
    <definedName name="OSRRefP16x_0" localSheetId="57">'315'!$P$57:$P$81</definedName>
    <definedName name="OSRRefP16x_0" localSheetId="60">'316'!$P$27</definedName>
    <definedName name="OSRRefP16x_0" localSheetId="62">'317'!$P$36:$P$48</definedName>
    <definedName name="OSRRefP16x_0" localSheetId="66">'321'!$P$17:$P$18</definedName>
    <definedName name="OSRRefP16x_0" localSheetId="67">'322'!$P$15</definedName>
    <definedName name="OSRRefP16x_0" localSheetId="53">'324'!$P$19:$P$21</definedName>
    <definedName name="OSRRefP16x_0" localSheetId="68">'325'!$P$17:$P$18</definedName>
    <definedName name="OSRRefP16x_0" localSheetId="58">'326'!$P$39:$P$45</definedName>
    <definedName name="OSRRefP16x_0" localSheetId="69">'327'!$P$17:$P$18</definedName>
    <definedName name="OSRRefP16x_0" localSheetId="56">'331'!$P$57:$P$81</definedName>
    <definedName name="OSRRefP16x_0" localSheetId="59">'332'!$P$27:$P$29</definedName>
    <definedName name="OSRRefP16x_0" localSheetId="54">'333'!$P$59:$P$83</definedName>
    <definedName name="OSRRefP16x_0" localSheetId="73">'405'!$P$17:$P$18</definedName>
    <definedName name="OSRRefP16x_0" localSheetId="79">'415'!$P$17:$P$18</definedName>
    <definedName name="OSRRefP16x_0" localSheetId="80">'418'!$P$15</definedName>
    <definedName name="OSRRefP16x_0" localSheetId="84">'425'!$P$16</definedName>
    <definedName name="OSRRefP16x_0" localSheetId="88">'433'!$P$18:$P$19</definedName>
    <definedName name="OSRRefP16x_0" localSheetId="90">'444'!$P$18:$P$19</definedName>
    <definedName name="OSRRefP16x_0" localSheetId="91">'450'!$P$18:$P$19</definedName>
    <definedName name="OSRRefP16x_0" localSheetId="72">'491'!$P$20:$P$21</definedName>
    <definedName name="OSRRefP16x_0" localSheetId="86">'492'!$P$18:$P$19</definedName>
    <definedName name="OSRRefP16x_0" localSheetId="47">'Div 3'!$P$83:$P$124</definedName>
    <definedName name="OSRRefP16x_0" localSheetId="70">'Div 4'!$P$21:$P$22</definedName>
    <definedName name="OSRRefP16x_0" localSheetId="61">'Div 6'!$P$36:$P$48</definedName>
    <definedName name="OSRRefP16x_0" localSheetId="2">Summary!$P$101:$P$151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'300'!$P$125:$P$134</definedName>
    <definedName name="OSRRefP22_0x_0" localSheetId="49">'300 &amp; 317'!$P$148:$P$157</definedName>
    <definedName name="OSRRefP22_0x_0" localSheetId="50">'301'!$P$21:$P$30</definedName>
    <definedName name="OSRRefP22_0x_0" localSheetId="55">'307'!$P$43:$P$45</definedName>
    <definedName name="OSRRefP22_0x_0" localSheetId="51">'308'!$P$61:$P$69</definedName>
    <definedName name="OSRRefP22_0x_0" localSheetId="64">'309'!$P$21</definedName>
    <definedName name="OSRRefP22_0x_0" localSheetId="63">'310'!$P$31:$P$39</definedName>
    <definedName name="OSRRefP22_0x_0" localSheetId="71">'310 &amp; 491'!$P$35:$P$43</definedName>
    <definedName name="OSRRefP22_0x_0" localSheetId="52">'311'!$P$61:$P$69</definedName>
    <definedName name="OSRRefP22_0x_0" localSheetId="65">'313'!$P$25:$P$32</definedName>
    <definedName name="OSRRefP22_0x_0" localSheetId="57">'315'!$P$87:$P$94</definedName>
    <definedName name="OSRRefP22_0x_0" localSheetId="60">'316'!$P$33:$P$40</definedName>
    <definedName name="OSRRefP22_0x_0" localSheetId="62">'317'!$P$54:$P$62</definedName>
    <definedName name="OSRRefP22_0x_0" localSheetId="66">'321'!$P$24:$P$32</definedName>
    <definedName name="OSRRefP22_0x_0" localSheetId="67">'322'!$P$21:$P$25</definedName>
    <definedName name="OSRRefP22_0x_0" localSheetId="68">'325'!$P$24:$P$31</definedName>
    <definedName name="OSRRefP22_0x_0" localSheetId="58">'326'!$P$51:$P$58</definedName>
    <definedName name="OSRRefP22_0x_0" localSheetId="69">'327'!$P$24</definedName>
    <definedName name="OSRRefP22_0x_0" localSheetId="56">'331'!$P$87:$P$94</definedName>
    <definedName name="OSRRefP22_0x_0" localSheetId="59">'332'!$P$35:$P$42</definedName>
    <definedName name="OSRRefP22_0x_0" localSheetId="54">'333'!$P$89:$P$96</definedName>
    <definedName name="OSRRefP22_0x_0" localSheetId="73">'405'!$P$24:$P$31</definedName>
    <definedName name="OSRRefP22_0x_0" localSheetId="74">'406'!$P$20</definedName>
    <definedName name="OSRRefP22_0x_0" localSheetId="75">'411'!$P$20:$P$27</definedName>
    <definedName name="OSRRefP22_0x_0" localSheetId="76">'412'!$P$20</definedName>
    <definedName name="OSRRefP22_0x_0" localSheetId="77">'413'!$P$20:$P$24</definedName>
    <definedName name="OSRRefP22_0x_0" localSheetId="78">'414'!$P$21</definedName>
    <definedName name="OSRRefP22_0x_0" localSheetId="79">'415'!$P$24:$P$31</definedName>
    <definedName name="OSRRefP22_0x_0" localSheetId="80">'418'!$P$21:$P$28</definedName>
    <definedName name="OSRRefP22_0x_0" localSheetId="81">'420'!$P$21</definedName>
    <definedName name="OSRRefP22_0x_0" localSheetId="82">'423'!$P$20:$P$21</definedName>
    <definedName name="OSRRefP22_0x_0" localSheetId="83">'424'!$P$20</definedName>
    <definedName name="OSRRefP22_0x_0" localSheetId="84">'425'!$P$22:$P$26</definedName>
    <definedName name="OSRRefP22_0x_0" localSheetId="87">'430'!$P$20:$P$27</definedName>
    <definedName name="OSRRefP22_0x_0" localSheetId="88">'433'!$P$25:$P$33</definedName>
    <definedName name="OSRRefP22_0x_0" localSheetId="89">'435'!$P$20</definedName>
    <definedName name="OSRRefP22_0x_0" localSheetId="90">'444'!$P$25:$P$33</definedName>
    <definedName name="OSRRefP22_0x_0" localSheetId="91">'450'!$P$25:$P$33</definedName>
    <definedName name="OSRRefP22_0x_0" localSheetId="72">'491'!$P$27:$P$34</definedName>
    <definedName name="OSRRefP22_0x_0" localSheetId="86">'492'!$P$25:$P$33</definedName>
    <definedName name="OSRRefP22_0x_0" localSheetId="93">'501'!$P$21:$P$29</definedName>
    <definedName name="OSRRefP22_0x_0" localSheetId="39">'Div 2'!$P$20:$P$30</definedName>
    <definedName name="OSRRefP22_0x_0" localSheetId="47">'Div 3'!$P$130:$P$139</definedName>
    <definedName name="OSRRefP22_0x_0" localSheetId="70">'Div 4'!$P$28:$P$36</definedName>
    <definedName name="OSRRefP22_0x_0" localSheetId="92">'Div 5'!$P$21:$P$29</definedName>
    <definedName name="OSRRefP22_0x_0" localSheetId="61">'Div 6'!$P$54:$P$62</definedName>
    <definedName name="OSRRefP22_0x_0" localSheetId="2">Summary!$P$157:$P$166</definedName>
    <definedName name="OSRRefP22_10x_0" localSheetId="41">'201'!$P$51:$P$52</definedName>
    <definedName name="OSRRefP22_10x_0" localSheetId="42">'202'!$P$53</definedName>
    <definedName name="OSRRefP22_10x_0" localSheetId="43">'203'!$P$55:$P$58</definedName>
    <definedName name="OSRRefP22_10x_0" localSheetId="48">'300'!$P$163:$P$164</definedName>
    <definedName name="OSRRefP22_10x_0" localSheetId="49">'300 &amp; 317'!$P$186:$P$187</definedName>
    <definedName name="OSRRefP22_10x_0" localSheetId="50">'301'!$P$59</definedName>
    <definedName name="OSRRefP22_10x_0" localSheetId="55">'307'!$P$71:$P$74</definedName>
    <definedName name="OSRRefP22_10x_0" localSheetId="51">'308'!$P$99:$P$100</definedName>
    <definedName name="OSRRefP22_10x_0" localSheetId="63">'310'!$P$63</definedName>
    <definedName name="OSRRefP22_10x_0" localSheetId="71">'310 &amp; 491'!$P$69</definedName>
    <definedName name="OSRRefP22_10x_0" localSheetId="52">'311'!$P$99:$P$100</definedName>
    <definedName name="OSRRefP22_10x_0" localSheetId="57">'315'!$P$122:$P$123</definedName>
    <definedName name="OSRRefP22_10x_0" localSheetId="60">'316'!$P$65:$P$69</definedName>
    <definedName name="OSRRefP22_10x_0" localSheetId="62">'317'!$P$89</definedName>
    <definedName name="OSRRefP22_10x_0" localSheetId="66">'321'!$P$61</definedName>
    <definedName name="OSRRefP22_10x_0" localSheetId="68">'325'!$P$54:$P$55</definedName>
    <definedName name="OSRRefP22_10x_0" localSheetId="58">'326'!$P$82</definedName>
    <definedName name="OSRRefP22_10x_0" localSheetId="56">'331'!$P$120</definedName>
    <definedName name="OSRRefP22_10x_0" localSheetId="59">'332'!$P$67:$P$71</definedName>
    <definedName name="OSRRefP22_10x_0" localSheetId="54">'333'!$P$122</definedName>
    <definedName name="OSRRefP22_10x_0" localSheetId="73">'405'!$P$55:$P$56</definedName>
    <definedName name="OSRRefP22_10x_0" localSheetId="75">'411'!$P$54:$P$56</definedName>
    <definedName name="OSRRefP22_10x_0" localSheetId="79">'415'!$P$55</definedName>
    <definedName name="OSRRefP22_10x_0" localSheetId="80">'418'!$P$53</definedName>
    <definedName name="OSRRefP22_10x_0" localSheetId="88">'433'!$P$57</definedName>
    <definedName name="OSRRefP22_10x_0" localSheetId="90">'444'!$P$57</definedName>
    <definedName name="OSRRefP22_10x_0" localSheetId="91">'450'!$P$57</definedName>
    <definedName name="OSRRefP22_10x_0" localSheetId="72">'491'!$P$59</definedName>
    <definedName name="OSRRefP22_10x_0" localSheetId="86">'492'!$P$58</definedName>
    <definedName name="OSRRefP22_10x_0" localSheetId="93">'501'!$P$58</definedName>
    <definedName name="OSRRefP22_10x_0" localSheetId="39">'Div 2'!$P$56</definedName>
    <definedName name="OSRRefP22_10x_0" localSheetId="47">'Div 3'!$P$168:$P$169</definedName>
    <definedName name="OSRRefP22_10x_0" localSheetId="70">'Div 4'!$P$62</definedName>
    <definedName name="OSRRefP22_10x_0" localSheetId="92">'Div 5'!$P$58</definedName>
    <definedName name="OSRRefP22_10x_0" localSheetId="61">'Div 6'!$P$89</definedName>
    <definedName name="OSRRefP22_10x_0" localSheetId="2">Summary!$P$195:$P$196</definedName>
    <definedName name="OSRRefP22_11x_0" localSheetId="41">'201'!$P$54</definedName>
    <definedName name="OSRRefP22_11x_0" localSheetId="42">'202'!$P$55</definedName>
    <definedName name="OSRRefP22_11x_0" localSheetId="43">'203'!$P$60</definedName>
    <definedName name="OSRRefP22_11x_0" localSheetId="48">'300'!$P$166</definedName>
    <definedName name="OSRRefP22_11x_0" localSheetId="49">'300 &amp; 317'!$P$189</definedName>
    <definedName name="OSRRefP22_11x_0" localSheetId="50">'301'!$P$61</definedName>
    <definedName name="OSRRefP22_11x_0" localSheetId="55">'307'!$P$76</definedName>
    <definedName name="OSRRefP22_11x_0" localSheetId="51">'308'!$P$102:$P$103</definedName>
    <definedName name="OSRRefP22_11x_0" localSheetId="63">'310'!$P$65:$P$66</definedName>
    <definedName name="OSRRefP22_11x_0" localSheetId="71">'310 &amp; 491'!$P$71</definedName>
    <definedName name="OSRRefP22_11x_0" localSheetId="52">'311'!$P$102:$P$103</definedName>
    <definedName name="OSRRefP22_11x_0" localSheetId="57">'315'!$P$125:$P$126</definedName>
    <definedName name="OSRRefP22_11x_0" localSheetId="60">'316'!$P$71</definedName>
    <definedName name="OSRRefP22_11x_0" localSheetId="66">'321'!$P$63</definedName>
    <definedName name="OSRRefP22_11x_0" localSheetId="68">'325'!$P$57:$P$60</definedName>
    <definedName name="OSRRefP22_11x_0" localSheetId="58">'326'!$P$84:$P$86</definedName>
    <definedName name="OSRRefP22_11x_0" localSheetId="56">'331'!$P$122:$P$123</definedName>
    <definedName name="OSRRefP22_11x_0" localSheetId="59">'332'!$P$73</definedName>
    <definedName name="OSRRefP22_11x_0" localSheetId="54">'333'!$P$124:$P$125</definedName>
    <definedName name="OSRRefP22_11x_0" localSheetId="73">'405'!$P$58:$P$61</definedName>
    <definedName name="OSRRefP22_11x_0" localSheetId="75">'411'!$P$58:$P$59</definedName>
    <definedName name="OSRRefP22_11x_0" localSheetId="79">'415'!$P$57:$P$58</definedName>
    <definedName name="OSRRefP22_11x_0" localSheetId="80">'418'!$P$55:$P$59</definedName>
    <definedName name="OSRRefP22_11x_0" localSheetId="88">'433'!$P$59:$P$60</definedName>
    <definedName name="OSRRefP22_11x_0" localSheetId="90">'444'!$P$59:$P$60</definedName>
    <definedName name="OSRRefP22_11x_0" localSheetId="91">'450'!$P$59</definedName>
    <definedName name="OSRRefP22_11x_0" localSheetId="72">'491'!$P$61</definedName>
    <definedName name="OSRRefP22_11x_0" localSheetId="86">'492'!$P$60</definedName>
    <definedName name="OSRRefP22_11x_0" localSheetId="39">'Div 2'!$P$58</definedName>
    <definedName name="OSRRefP22_11x_0" localSheetId="47">'Div 3'!$P$171</definedName>
    <definedName name="OSRRefP22_11x_0" localSheetId="70">'Div 4'!$P$64</definedName>
    <definedName name="OSRRefP22_11x_0" localSheetId="2">Summary!$P$198</definedName>
    <definedName name="OSRRefP22_12x_0" localSheetId="41">'201'!$P$56:$P$57</definedName>
    <definedName name="OSRRefP22_12x_0" localSheetId="42">'202'!$P$57</definedName>
    <definedName name="OSRRefP22_12x_0" localSheetId="43">'203'!$P$62</definedName>
    <definedName name="OSRRefP22_12x_0" localSheetId="48">'300'!$P$168</definedName>
    <definedName name="OSRRefP22_12x_0" localSheetId="49">'300 &amp; 317'!$P$191</definedName>
    <definedName name="OSRRefP22_12x_0" localSheetId="50">'301'!$P$63</definedName>
    <definedName name="OSRRefP22_12x_0" localSheetId="55">'307'!$P$78</definedName>
    <definedName name="OSRRefP22_12x_0" localSheetId="51">'308'!$P$105:$P$106</definedName>
    <definedName name="OSRRefP22_12x_0" localSheetId="63">'310'!$P$68</definedName>
    <definedName name="OSRRefP22_12x_0" localSheetId="71">'310 &amp; 491'!$P$73</definedName>
    <definedName name="OSRRefP22_12x_0" localSheetId="52">'311'!$P$105:$P$106</definedName>
    <definedName name="OSRRefP22_12x_0" localSheetId="57">'315'!$P$128:$P$132</definedName>
    <definedName name="OSRRefP22_12x_0" localSheetId="60">'316'!$P$73</definedName>
    <definedName name="OSRRefP22_12x_0" localSheetId="68">'325'!$P$62:$P$66</definedName>
    <definedName name="OSRRefP22_12x_0" localSheetId="58">'326'!$P$88:$P$90</definedName>
    <definedName name="OSRRefP22_12x_0" localSheetId="56">'331'!$P$125</definedName>
    <definedName name="OSRRefP22_12x_0" localSheetId="59">'332'!$P$75</definedName>
    <definedName name="OSRRefP22_12x_0" localSheetId="54">'333'!$P$127</definedName>
    <definedName name="OSRRefP22_12x_0" localSheetId="73">'405'!$P$63</definedName>
    <definedName name="OSRRefP22_12x_0" localSheetId="75">'411'!$P$61</definedName>
    <definedName name="OSRRefP22_12x_0" localSheetId="79">'415'!$P$60:$P$63</definedName>
    <definedName name="OSRRefP22_12x_0" localSheetId="80">'418'!$P$61</definedName>
    <definedName name="OSRRefP22_12x_0" localSheetId="88">'433'!$P$62:$P$64</definedName>
    <definedName name="OSRRefP22_12x_0" localSheetId="90">'444'!$P$62:$P$65</definedName>
    <definedName name="OSRRefP22_12x_0" localSheetId="91">'450'!$P$61:$P$62</definedName>
    <definedName name="OSRRefP22_12x_0" localSheetId="72">'491'!$P$63</definedName>
    <definedName name="OSRRefP22_12x_0" localSheetId="86">'492'!$P$62:$P$64</definedName>
    <definedName name="OSRRefP22_12x_0" localSheetId="39">'Div 2'!$P$60:$P$62</definedName>
    <definedName name="OSRRefP22_12x_0" localSheetId="47">'Div 3'!$P$173</definedName>
    <definedName name="OSRRefP22_12x_0" localSheetId="70">'Div 4'!$P$66</definedName>
    <definedName name="OSRRefP22_12x_0" localSheetId="2">Summary!$P$200</definedName>
    <definedName name="OSRRefP22_13x_0" localSheetId="41">'201'!$P$59</definedName>
    <definedName name="OSRRefP22_13x_0" localSheetId="43">'203'!$P$64</definedName>
    <definedName name="OSRRefP22_13x_0" localSheetId="48">'300'!$P$170:$P$171</definedName>
    <definedName name="OSRRefP22_13x_0" localSheetId="49">'300 &amp; 317'!$P$193:$P$194</definedName>
    <definedName name="OSRRefP22_13x_0" localSheetId="50">'301'!$P$65</definedName>
    <definedName name="OSRRefP22_13x_0" localSheetId="51">'308'!$P$108</definedName>
    <definedName name="OSRRefP22_13x_0" localSheetId="63">'310'!$P$70:$P$73</definedName>
    <definedName name="OSRRefP22_13x_0" localSheetId="71">'310 &amp; 491'!$P$75:$P$77</definedName>
    <definedName name="OSRRefP22_13x_0" localSheetId="52">'311'!$P$108</definedName>
    <definedName name="OSRRefP22_13x_0" localSheetId="57">'315'!$P$134</definedName>
    <definedName name="OSRRefP22_13x_0" localSheetId="68">'325'!$P$68</definedName>
    <definedName name="OSRRefP22_13x_0" localSheetId="58">'326'!$P$92:$P$93</definedName>
    <definedName name="OSRRefP22_13x_0" localSheetId="56">'331'!$P$127</definedName>
    <definedName name="OSRRefP22_13x_0" localSheetId="54">'333'!$P$129</definedName>
    <definedName name="OSRRefP22_13x_0" localSheetId="73">'405'!$P$65:$P$72</definedName>
    <definedName name="OSRRefP22_13x_0" localSheetId="75">'411'!$P$63:$P$64</definedName>
    <definedName name="OSRRefP22_13x_0" localSheetId="79">'415'!$P$65</definedName>
    <definedName name="OSRRefP22_13x_0" localSheetId="88">'433'!$P$66:$P$73</definedName>
    <definedName name="OSRRefP22_13x_0" localSheetId="90">'444'!$P$67</definedName>
    <definedName name="OSRRefP22_13x_0" localSheetId="91">'450'!$P$64:$P$66</definedName>
    <definedName name="OSRRefP22_13x_0" localSheetId="72">'491'!$P$65:$P$67</definedName>
    <definedName name="OSRRefP22_13x_0" localSheetId="86">'492'!$P$66:$P$69</definedName>
    <definedName name="OSRRefP22_13x_0" localSheetId="39">'Div 2'!$P$64:$P$67</definedName>
    <definedName name="OSRRefP22_13x_0" localSheetId="47">'Div 3'!$P$175</definedName>
    <definedName name="OSRRefP22_13x_0" localSheetId="70">'Div 4'!$P$68</definedName>
    <definedName name="OSRRefP22_13x_0" localSheetId="2">Summary!$P$202</definedName>
    <definedName name="OSRRefP22_14x_0" localSheetId="41">'201'!$P$61</definedName>
    <definedName name="OSRRefP22_14x_0" localSheetId="48">'300'!$P$173</definedName>
    <definedName name="OSRRefP22_14x_0" localSheetId="49">'300 &amp; 317'!$P$196</definedName>
    <definedName name="OSRRefP22_14x_0" localSheetId="50">'301'!$P$67</definedName>
    <definedName name="OSRRefP22_14x_0" localSheetId="63">'310'!$P$75:$P$80</definedName>
    <definedName name="OSRRefP22_14x_0" localSheetId="71">'310 &amp; 491'!$P$79</definedName>
    <definedName name="OSRRefP22_14x_0" localSheetId="57">'315'!$P$136</definedName>
    <definedName name="OSRRefP22_14x_0" localSheetId="68">'325'!$P$70</definedName>
    <definedName name="OSRRefP22_14x_0" localSheetId="58">'326'!$P$95:$P$98</definedName>
    <definedName name="OSRRefP22_14x_0" localSheetId="56">'331'!$P$129:$P$131</definedName>
    <definedName name="OSRRefP22_14x_0" localSheetId="54">'333'!$P$131:$P$133</definedName>
    <definedName name="OSRRefP22_14x_0" localSheetId="73">'405'!$P$74</definedName>
    <definedName name="OSRRefP22_14x_0" localSheetId="75">'411'!$P$66</definedName>
    <definedName name="OSRRefP22_14x_0" localSheetId="79">'415'!$P$67:$P$72</definedName>
    <definedName name="OSRRefP22_14x_0" localSheetId="88">'433'!$P$75</definedName>
    <definedName name="OSRRefP22_14x_0" localSheetId="90">'444'!$P$69:$P$76</definedName>
    <definedName name="OSRRefP22_14x_0" localSheetId="91">'450'!$P$68:$P$73</definedName>
    <definedName name="OSRRefP22_14x_0" localSheetId="72">'491'!$P$69</definedName>
    <definedName name="OSRRefP22_14x_0" localSheetId="86">'492'!$P$71</definedName>
    <definedName name="OSRRefP22_14x_0" localSheetId="39">'Div 2'!$P$69</definedName>
    <definedName name="OSRRefP22_14x_0" localSheetId="47">'Div 3'!$P$177:$P$178</definedName>
    <definedName name="OSRRefP22_14x_0" localSheetId="70">'Div 4'!$P$70</definedName>
    <definedName name="OSRRefP22_14x_0" localSheetId="2">Summary!$P$204:$P$205</definedName>
    <definedName name="OSRRefP22_15x_0" localSheetId="48">'300'!$P$175</definedName>
    <definedName name="OSRRefP22_15x_0" localSheetId="49">'300 &amp; 317'!$P$198</definedName>
    <definedName name="OSRRefP22_15x_0" localSheetId="50">'301'!$P$69:$P$72</definedName>
    <definedName name="OSRRefP22_15x_0" localSheetId="63">'310'!$P$82</definedName>
    <definedName name="OSRRefP22_15x_0" localSheetId="71">'310 &amp; 491'!$P$81:$P$84</definedName>
    <definedName name="OSRRefP22_15x_0" localSheetId="58">'326'!$P$100</definedName>
    <definedName name="OSRRefP22_15x_0" localSheetId="56">'331'!$P$133:$P$134</definedName>
    <definedName name="OSRRefP22_15x_0" localSheetId="54">'333'!$P$135:$P$136</definedName>
    <definedName name="OSRRefP22_15x_0" localSheetId="73">'405'!$P$76</definedName>
    <definedName name="OSRRefP22_15x_0" localSheetId="79">'415'!$P$74</definedName>
    <definedName name="OSRRefP22_15x_0" localSheetId="90">'444'!$P$78</definedName>
    <definedName name="OSRRefP22_15x_0" localSheetId="91">'450'!$P$75</definedName>
    <definedName name="OSRRefP22_15x_0" localSheetId="72">'491'!$P$71:$P$74</definedName>
    <definedName name="OSRRefP22_15x_0" localSheetId="86">'492'!$P$73:$P$80</definedName>
    <definedName name="OSRRefP22_15x_0" localSheetId="39">'Div 2'!$P$71</definedName>
    <definedName name="OSRRefP22_15x_0" localSheetId="47">'Div 3'!$P$180</definedName>
    <definedName name="OSRRefP22_15x_0" localSheetId="70">'Div 4'!$P$72:$P$74</definedName>
    <definedName name="OSRRefP22_15x_0" localSheetId="2">Summary!$P$207</definedName>
    <definedName name="OSRRefP22_16x_0" localSheetId="48">'300'!$P$177:$P$180</definedName>
    <definedName name="OSRRefP22_16x_0" localSheetId="49">'300 &amp; 317'!$P$200:$P$203</definedName>
    <definedName name="OSRRefP22_16x_0" localSheetId="50">'301'!$P$74:$P$76</definedName>
    <definedName name="OSRRefP22_16x_0" localSheetId="63">'310'!$P$84</definedName>
    <definedName name="OSRRefP22_16x_0" localSheetId="71">'310 &amp; 491'!$P$86</definedName>
    <definedName name="OSRRefP22_16x_0" localSheetId="58">'326'!$P$102</definedName>
    <definedName name="OSRRefP22_16x_0" localSheetId="56">'331'!$P$136:$P$138</definedName>
    <definedName name="OSRRefP22_16x_0" localSheetId="54">'333'!$P$138:$P$141</definedName>
    <definedName name="OSRRefP22_16x_0" localSheetId="79">'415'!$P$76</definedName>
    <definedName name="OSRRefP22_16x_0" localSheetId="90">'444'!$P$80</definedName>
    <definedName name="OSRRefP22_16x_0" localSheetId="91">'450'!$P$77</definedName>
    <definedName name="OSRRefP22_16x_0" localSheetId="72">'491'!$P$76</definedName>
    <definedName name="OSRRefP22_16x_0" localSheetId="86">'492'!$P$82</definedName>
    <definedName name="OSRRefP22_16x_0" localSheetId="39">'Div 2'!$P$73:$P$77</definedName>
    <definedName name="OSRRefP22_16x_0" localSheetId="47">'Div 3'!$P$182</definedName>
    <definedName name="OSRRefP22_16x_0" localSheetId="70">'Div 4'!$P$76</definedName>
    <definedName name="OSRRefP22_16x_0" localSheetId="2">Summary!$P$209</definedName>
    <definedName name="OSRRefP22_17x_0" localSheetId="48">'300'!$P$182:$P$184</definedName>
    <definedName name="OSRRefP22_17x_0" localSheetId="49">'300 &amp; 317'!$P$205:$P$207</definedName>
    <definedName name="OSRRefP22_17x_0" localSheetId="50">'301'!$P$78</definedName>
    <definedName name="OSRRefP22_17x_0" localSheetId="71">'310 &amp; 491'!$P$88:$P$96</definedName>
    <definedName name="OSRRefP22_17x_0" localSheetId="58">'326'!$P$104</definedName>
    <definedName name="OSRRefP22_17x_0" localSheetId="56">'331'!$P$140:$P$141</definedName>
    <definedName name="OSRRefP22_17x_0" localSheetId="54">'333'!$P$143:$P$144</definedName>
    <definedName name="OSRRefP22_17x_0" localSheetId="79">'415'!$P$78</definedName>
    <definedName name="OSRRefP22_17x_0" localSheetId="72">'491'!$P$78:$P$86</definedName>
    <definedName name="OSRRefP22_17x_0" localSheetId="86">'492'!$P$84</definedName>
    <definedName name="OSRRefP22_17x_0" localSheetId="39">'Div 2'!$P$79:$P$80</definedName>
    <definedName name="OSRRefP22_17x_0" localSheetId="47">'Div 3'!$P$184:$P$187</definedName>
    <definedName name="OSRRefP22_17x_0" localSheetId="70">'Div 4'!$P$78:$P$81</definedName>
    <definedName name="OSRRefP22_17x_0" localSheetId="2">Summary!$P$211</definedName>
    <definedName name="OSRRefP22_18x_0" localSheetId="48">'300'!$P$186:$P$189</definedName>
    <definedName name="OSRRefP22_18x_0" localSheetId="49">'300 &amp; 317'!$P$209:$P$212</definedName>
    <definedName name="OSRRefP22_18x_0" localSheetId="50">'301'!$P$80:$P$85</definedName>
    <definedName name="OSRRefP22_18x_0" localSheetId="71">'310 &amp; 491'!$P$98</definedName>
    <definedName name="OSRRefP22_18x_0" localSheetId="56">'331'!$P$143:$P$148</definedName>
    <definedName name="OSRRefP22_18x_0" localSheetId="54">'333'!$P$146:$P$151</definedName>
    <definedName name="OSRRefP22_18x_0" localSheetId="72">'491'!$P$88</definedName>
    <definedName name="OSRRefP22_18x_0" localSheetId="86">'492'!$P$86:$P$87</definedName>
    <definedName name="OSRRefP22_18x_0" localSheetId="39">'Div 2'!$P$82</definedName>
    <definedName name="OSRRefP22_18x_0" localSheetId="47">'Div 3'!$P$189:$P$191</definedName>
    <definedName name="OSRRefP22_18x_0" localSheetId="70">'Div 4'!$P$83:$P$84</definedName>
    <definedName name="OSRRefP22_18x_0" localSheetId="2">Summary!$P$213:$P$216</definedName>
    <definedName name="OSRRefP22_19x_0" localSheetId="48">'300'!$P$191:$P$192</definedName>
    <definedName name="OSRRefP22_19x_0" localSheetId="49">'300 &amp; 317'!$P$214:$P$215</definedName>
    <definedName name="OSRRefP22_19x_0" localSheetId="50">'301'!$P$87</definedName>
    <definedName name="OSRRefP22_19x_0" localSheetId="71">'310 &amp; 491'!$P$100</definedName>
    <definedName name="OSRRefP22_19x_0" localSheetId="56">'331'!$P$150</definedName>
    <definedName name="OSRRefP22_19x_0" localSheetId="54">'333'!$P$153</definedName>
    <definedName name="OSRRefP22_19x_0" localSheetId="72">'491'!$P$90</definedName>
    <definedName name="OSRRefP22_19x_0" localSheetId="39">'Div 2'!$P$84:$P$85</definedName>
    <definedName name="OSRRefP22_19x_0" localSheetId="47">'Div 3'!$P$193:$P$197</definedName>
    <definedName name="OSRRefP22_19x_0" localSheetId="70">'Div 4'!$P$86:$P$94</definedName>
    <definedName name="OSRRefP22_19x_0" localSheetId="2">Summary!$P$218:$P$220</definedName>
    <definedName name="OSRRefP22_1x_0" localSheetId="40">'200'!$P$22</definedName>
    <definedName name="OSRRefP22_1x_0" localSheetId="41">'201'!$P$29:$P$31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'206'!$P$29:$P$31</definedName>
    <definedName name="OSRRefP22_1x_0" localSheetId="48">'300'!$P$136:$P$142</definedName>
    <definedName name="OSRRefP22_1x_0" localSheetId="49">'300 &amp; 317'!$P$159:$P$165</definedName>
    <definedName name="OSRRefP22_1x_0" localSheetId="50">'301'!$P$32:$P$38</definedName>
    <definedName name="OSRRefP22_1x_0" localSheetId="55">'307'!$P$47:$P$50</definedName>
    <definedName name="OSRRefP22_1x_0" localSheetId="51">'308'!$P$71:$P$77</definedName>
    <definedName name="OSRRefP22_1x_0" localSheetId="64">'309'!$P$23</definedName>
    <definedName name="OSRRefP22_1x_0" localSheetId="63">'310'!$P$41:$P$44</definedName>
    <definedName name="OSRRefP22_1x_0" localSheetId="71">'310 &amp; 491'!$P$45:$P$49</definedName>
    <definedName name="OSRRefP22_1x_0" localSheetId="52">'311'!$P$71:$P$77</definedName>
    <definedName name="OSRRefP22_1x_0" localSheetId="65">'313'!$P$34</definedName>
    <definedName name="OSRRefP22_1x_0" localSheetId="57">'315'!$P$96:$P$100</definedName>
    <definedName name="OSRRefP22_1x_0" localSheetId="60">'316'!$P$42:$P$44</definedName>
    <definedName name="OSRRefP22_1x_0" localSheetId="62">'317'!$P$64:$P$68</definedName>
    <definedName name="OSRRefP22_1x_0" localSheetId="66">'321'!$P$34:$P$37</definedName>
    <definedName name="OSRRefP22_1x_0" localSheetId="67">'322'!$P$27</definedName>
    <definedName name="OSRRefP22_1x_0" localSheetId="68">'325'!$P$33:$P$35</definedName>
    <definedName name="OSRRefP22_1x_0" localSheetId="58">'326'!$P$60:$P$64</definedName>
    <definedName name="OSRRefP22_1x_0" localSheetId="69">'327'!$P$26</definedName>
    <definedName name="OSRRefP22_1x_0" localSheetId="56">'331'!$P$96:$P$100</definedName>
    <definedName name="OSRRefP22_1x_0" localSheetId="59">'332'!$P$44:$P$46</definedName>
    <definedName name="OSRRefP22_1x_0" localSheetId="54">'333'!$P$98:$P$102</definedName>
    <definedName name="OSRRefP22_1x_0" localSheetId="73">'405'!$P$33:$P$36</definedName>
    <definedName name="OSRRefP22_1x_0" localSheetId="74">'406'!$P$22</definedName>
    <definedName name="OSRRefP22_1x_0" localSheetId="75">'411'!$P$29:$P$33</definedName>
    <definedName name="OSRRefP22_1x_0" localSheetId="76">'412'!$P$22</definedName>
    <definedName name="OSRRefP22_1x_0" localSheetId="77">'413'!$P$26</definedName>
    <definedName name="OSRRefP22_1x_0" localSheetId="78">'414'!$P$23</definedName>
    <definedName name="OSRRefP22_1x_0" localSheetId="79">'415'!$P$33:$P$36</definedName>
    <definedName name="OSRRefP22_1x_0" localSheetId="80">'418'!$P$30:$P$33</definedName>
    <definedName name="OSRRefP22_1x_0" localSheetId="82">'423'!$P$23</definedName>
    <definedName name="OSRRefP22_1x_0" localSheetId="83">'424'!$P$22</definedName>
    <definedName name="OSRRefP22_1x_0" localSheetId="84">'425'!$P$28</definedName>
    <definedName name="OSRRefP22_1x_0" localSheetId="87">'430'!$P$29</definedName>
    <definedName name="OSRRefP22_1x_0" localSheetId="88">'433'!$P$35:$P$39</definedName>
    <definedName name="OSRRefP22_1x_0" localSheetId="89">'435'!$P$22</definedName>
    <definedName name="OSRRefP22_1x_0" localSheetId="90">'444'!$P$35:$P$39</definedName>
    <definedName name="OSRRefP22_1x_0" localSheetId="91">'450'!$P$35:$P$39</definedName>
    <definedName name="OSRRefP22_1x_0" localSheetId="72">'491'!$P$36:$P$40</definedName>
    <definedName name="OSRRefP22_1x_0" localSheetId="86">'492'!$P$35:$P$40</definedName>
    <definedName name="OSRRefP22_1x_0" localSheetId="93">'501'!$P$31:$P$36</definedName>
    <definedName name="OSRRefP22_1x_0" localSheetId="39">'Div 2'!$P$32:$P$37</definedName>
    <definedName name="OSRRefP22_1x_0" localSheetId="47">'Div 3'!$P$141:$P$147</definedName>
    <definedName name="OSRRefP22_1x_0" localSheetId="70">'Div 4'!$P$38:$P$43</definedName>
    <definedName name="OSRRefP22_1x_0" localSheetId="92">'Div 5'!$P$31:$P$36</definedName>
    <definedName name="OSRRefP22_1x_0" localSheetId="61">'Div 6'!$P$64:$P$68</definedName>
    <definedName name="OSRRefP22_1x_0" localSheetId="2">Summary!$P$168:$P$174</definedName>
    <definedName name="OSRRefP22_20x_0" localSheetId="48">'300'!$P$194:$P$200</definedName>
    <definedName name="OSRRefP22_20x_0" localSheetId="49">'300 &amp; 317'!$P$217:$P$223</definedName>
    <definedName name="OSRRefP22_20x_0" localSheetId="50">'301'!$P$89</definedName>
    <definedName name="OSRRefP22_20x_0" localSheetId="71">'310 &amp; 491'!$P$102:$P$103</definedName>
    <definedName name="OSRRefP22_20x_0" localSheetId="56">'331'!$P$152</definedName>
    <definedName name="OSRRefP22_20x_0" localSheetId="54">'333'!$P$155</definedName>
    <definedName name="OSRRefP22_20x_0" localSheetId="72">'491'!$P$92:$P$93</definedName>
    <definedName name="OSRRefP22_20x_0" localSheetId="47">'Div 3'!$P$199:$P$200</definedName>
    <definedName name="OSRRefP22_20x_0" localSheetId="70">'Div 4'!$P$96</definedName>
    <definedName name="OSRRefP22_20x_0" localSheetId="2">Summary!$P$222:$P$226</definedName>
    <definedName name="OSRRefP22_21x_0" localSheetId="48">'300'!$P$202:$P$203</definedName>
    <definedName name="OSRRefP22_21x_0" localSheetId="49">'300 &amp; 317'!$P$225:$P$226</definedName>
    <definedName name="OSRRefP22_21x_0" localSheetId="50">'301'!$P$91:$P$92</definedName>
    <definedName name="OSRRefP22_21x_0" localSheetId="71">'310 &amp; 491'!$P$105</definedName>
    <definedName name="OSRRefP22_21x_0" localSheetId="56">'331'!$P$154</definedName>
    <definedName name="OSRRefP22_21x_0" localSheetId="54">'333'!$P$157</definedName>
    <definedName name="OSRRefP22_21x_0" localSheetId="72">'491'!$P$95</definedName>
    <definedName name="OSRRefP22_21x_0" localSheetId="47">'Div 3'!$P$202:$P$208</definedName>
    <definedName name="OSRRefP22_21x_0" localSheetId="70">'Div 4'!$P$98</definedName>
    <definedName name="OSRRefP22_21x_0" localSheetId="2">Summary!$P$228:$P$229</definedName>
    <definedName name="OSRRefP22_22x_0" localSheetId="48">'300'!$P$205</definedName>
    <definedName name="OSRRefP22_22x_0" localSheetId="49">'300 &amp; 317'!$P$228</definedName>
    <definedName name="OSRRefP22_22x_0" localSheetId="50">'301'!$P$94</definedName>
    <definedName name="OSRRefP22_22x_0" localSheetId="54">'333'!$P$159</definedName>
    <definedName name="OSRRefP22_22x_0" localSheetId="47">'Div 3'!$P$210:$P$211</definedName>
    <definedName name="OSRRefP22_22x_0" localSheetId="70">'Div 4'!$P$100:$P$101</definedName>
    <definedName name="OSRRefP22_22x_0" localSheetId="2">Summary!$P$231:$P$239</definedName>
    <definedName name="OSRRefP22_23x_0" localSheetId="48">'300'!$P$207:$P$209</definedName>
    <definedName name="OSRRefP22_23x_0" localSheetId="49">'300 &amp; 317'!$P$230:$P$232</definedName>
    <definedName name="OSRRefP22_23x_0" localSheetId="47">'Div 3'!$P$213</definedName>
    <definedName name="OSRRefP22_23x_0" localSheetId="70">'Div 4'!$P$103</definedName>
    <definedName name="OSRRefP22_23x_0" localSheetId="2">Summary!$P$241:$P$242</definedName>
    <definedName name="OSRRefP22_24x_0" localSheetId="48">'300'!$P$211</definedName>
    <definedName name="OSRRefP22_24x_0" localSheetId="49">'300 &amp; 317'!$P$234</definedName>
    <definedName name="OSRRefP22_24x_0" localSheetId="47">'Div 3'!$P$215:$P$217</definedName>
    <definedName name="OSRRefP22_24x_0" localSheetId="2">Summary!$P$244</definedName>
    <definedName name="OSRRefP22_25x_0" localSheetId="47">'Div 3'!$P$219</definedName>
    <definedName name="OSRRefP22_25x_0" localSheetId="2">Summary!$P$246:$P$248</definedName>
    <definedName name="OSRRefP22_26x_0" localSheetId="2">Summary!$P$250</definedName>
    <definedName name="OSRRefP22_2x_0" localSheetId="40">'200'!$P$24</definedName>
    <definedName name="OSRRefP22_2x_0" localSheetId="41">'201'!$P$33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'206'!$P$33</definedName>
    <definedName name="OSRRefP22_2x_0" localSheetId="48">'300'!$P$144</definedName>
    <definedName name="OSRRefP22_2x_0" localSheetId="49">'300 &amp; 317'!$P$167</definedName>
    <definedName name="OSRRefP22_2x_0" localSheetId="50">'301'!$P$40</definedName>
    <definedName name="OSRRefP22_2x_0" localSheetId="55">'307'!$P$52</definedName>
    <definedName name="OSRRefP22_2x_0" localSheetId="51">'308'!$P$79</definedName>
    <definedName name="OSRRefP22_2x_0" localSheetId="64">'309'!$P$25</definedName>
    <definedName name="OSRRefP22_2x_0" localSheetId="63">'310'!$P$46</definedName>
    <definedName name="OSRRefP22_2x_0" localSheetId="71">'310 &amp; 491'!$P$51</definedName>
    <definedName name="OSRRefP22_2x_0" localSheetId="52">'311'!$P$79</definedName>
    <definedName name="OSRRefP22_2x_0" localSheetId="65">'313'!$P$36</definedName>
    <definedName name="OSRRefP22_2x_0" localSheetId="57">'315'!$P$102</definedName>
    <definedName name="OSRRefP22_2x_0" localSheetId="60">'316'!$P$46</definedName>
    <definedName name="OSRRefP22_2x_0" localSheetId="62">'317'!$P$70</definedName>
    <definedName name="OSRRefP22_2x_0" localSheetId="66">'321'!$P$39</definedName>
    <definedName name="OSRRefP22_2x_0" localSheetId="67">'322'!$P$29</definedName>
    <definedName name="OSRRefP22_2x_0" localSheetId="68">'325'!$P$37</definedName>
    <definedName name="OSRRefP22_2x_0" localSheetId="58">'326'!$P$66</definedName>
    <definedName name="OSRRefP22_2x_0" localSheetId="56">'331'!$P$102</definedName>
    <definedName name="OSRRefP22_2x_0" localSheetId="59">'332'!$P$48</definedName>
    <definedName name="OSRRefP22_2x_0" localSheetId="54">'333'!$P$104</definedName>
    <definedName name="OSRRefP22_2x_0" localSheetId="73">'405'!$P$38</definedName>
    <definedName name="OSRRefP22_2x_0" localSheetId="74">'406'!$P$24</definedName>
    <definedName name="OSRRefP22_2x_0" localSheetId="75">'411'!$P$35</definedName>
    <definedName name="OSRRefP22_2x_0" localSheetId="76">'412'!$P$24:$P$25</definedName>
    <definedName name="OSRRefP22_2x_0" localSheetId="77">'413'!$P$28</definedName>
    <definedName name="OSRRefP22_2x_0" localSheetId="78">'414'!$P$25</definedName>
    <definedName name="OSRRefP22_2x_0" localSheetId="79">'415'!$P$38</definedName>
    <definedName name="OSRRefP22_2x_0" localSheetId="80">'418'!$P$35</definedName>
    <definedName name="OSRRefP22_2x_0" localSheetId="82">'423'!$P$25</definedName>
    <definedName name="OSRRefP22_2x_0" localSheetId="83">'424'!$P$24</definedName>
    <definedName name="OSRRefP22_2x_0" localSheetId="84">'425'!$P$30</definedName>
    <definedName name="OSRRefP22_2x_0" localSheetId="87">'430'!$P$31</definedName>
    <definedName name="OSRRefP22_2x_0" localSheetId="88">'433'!$P$41</definedName>
    <definedName name="OSRRefP22_2x_0" localSheetId="90">'444'!$P$41</definedName>
    <definedName name="OSRRefP22_2x_0" localSheetId="91">'450'!$P$41</definedName>
    <definedName name="OSRRefP22_2x_0" localSheetId="72">'491'!$P$42</definedName>
    <definedName name="OSRRefP22_2x_0" localSheetId="86">'492'!$P$42</definedName>
    <definedName name="OSRRefP22_2x_0" localSheetId="93">'501'!$P$38</definedName>
    <definedName name="OSRRefP22_2x_0" localSheetId="39">'Div 2'!$P$39</definedName>
    <definedName name="OSRRefP22_2x_0" localSheetId="47">'Div 3'!$P$149</definedName>
    <definedName name="OSRRefP22_2x_0" localSheetId="70">'Div 4'!$P$45</definedName>
    <definedName name="OSRRefP22_2x_0" localSheetId="92">'Div 5'!$P$38</definedName>
    <definedName name="OSRRefP22_2x_0" localSheetId="61">'Div 6'!$P$70</definedName>
    <definedName name="OSRRefP22_2x_0" localSheetId="2">Summary!$P$176</definedName>
    <definedName name="OSRRefP22_3x_0" localSheetId="40">'200'!$P$26</definedName>
    <definedName name="OSRRefP22_3x_0" localSheetId="41">'201'!$P$35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'206'!$P$35</definedName>
    <definedName name="OSRRefP22_3x_0" localSheetId="48">'300'!$P$146:$P$147</definedName>
    <definedName name="OSRRefP22_3x_0" localSheetId="49">'300 &amp; 317'!$P$169:$P$170</definedName>
    <definedName name="OSRRefP22_3x_0" localSheetId="50">'301'!$P$42:$P$43</definedName>
    <definedName name="OSRRefP22_3x_0" localSheetId="55">'307'!$P$54</definedName>
    <definedName name="OSRRefP22_3x_0" localSheetId="51">'308'!$P$81:$P$82</definedName>
    <definedName name="OSRRefP22_3x_0" localSheetId="64">'309'!$P$27</definedName>
    <definedName name="OSRRefP22_3x_0" localSheetId="63">'310'!$P$48</definedName>
    <definedName name="OSRRefP22_3x_0" localSheetId="71">'310 &amp; 491'!$P$53</definedName>
    <definedName name="OSRRefP22_3x_0" localSheetId="52">'311'!$P$81:$P$82</definedName>
    <definedName name="OSRRefP22_3x_0" localSheetId="65">'313'!$P$38</definedName>
    <definedName name="OSRRefP22_3x_0" localSheetId="57">'315'!$P$104:$P$105</definedName>
    <definedName name="OSRRefP22_3x_0" localSheetId="60">'316'!$P$48</definedName>
    <definedName name="OSRRefP22_3x_0" localSheetId="62">'317'!$P$72</definedName>
    <definedName name="OSRRefP22_3x_0" localSheetId="66">'321'!$P$41</definedName>
    <definedName name="OSRRefP22_3x_0" localSheetId="67">'322'!$P$31</definedName>
    <definedName name="OSRRefP22_3x_0" localSheetId="68">'325'!$P$39</definedName>
    <definedName name="OSRRefP22_3x_0" localSheetId="58">'326'!$P$68</definedName>
    <definedName name="OSRRefP22_3x_0" localSheetId="56">'331'!$P$104</definedName>
    <definedName name="OSRRefP22_3x_0" localSheetId="59">'332'!$P$50</definedName>
    <definedName name="OSRRefP22_3x_0" localSheetId="54">'333'!$P$106</definedName>
    <definedName name="OSRRefP22_3x_0" localSheetId="73">'405'!$P$40</definedName>
    <definedName name="OSRRefP22_3x_0" localSheetId="74">'406'!$P$26</definedName>
    <definedName name="OSRRefP22_3x_0" localSheetId="75">'411'!$P$37:$P$38</definedName>
    <definedName name="OSRRefP22_3x_0" localSheetId="76">'412'!$P$27</definedName>
    <definedName name="OSRRefP22_3x_0" localSheetId="77">'413'!$P$30</definedName>
    <definedName name="OSRRefP22_3x_0" localSheetId="78">'414'!$P$27</definedName>
    <definedName name="OSRRefP22_3x_0" localSheetId="79">'415'!$P$40</definedName>
    <definedName name="OSRRefP22_3x_0" localSheetId="80">'418'!$P$37</definedName>
    <definedName name="OSRRefP22_3x_0" localSheetId="82">'423'!$P$27</definedName>
    <definedName name="OSRRefP22_3x_0" localSheetId="83">'424'!$P$26</definedName>
    <definedName name="OSRRefP22_3x_0" localSheetId="84">'425'!$P$32</definedName>
    <definedName name="OSRRefP22_3x_0" localSheetId="87">'430'!$P$33</definedName>
    <definedName name="OSRRefP22_3x_0" localSheetId="88">'433'!$P$43</definedName>
    <definedName name="OSRRefP22_3x_0" localSheetId="90">'444'!$P$43</definedName>
    <definedName name="OSRRefP22_3x_0" localSheetId="91">'450'!$P$43</definedName>
    <definedName name="OSRRefP22_3x_0" localSheetId="72">'491'!$P$44</definedName>
    <definedName name="OSRRefP22_3x_0" localSheetId="86">'492'!$P$44</definedName>
    <definedName name="OSRRefP22_3x_0" localSheetId="93">'501'!$P$40</definedName>
    <definedName name="OSRRefP22_3x_0" localSheetId="39">'Div 2'!$P$41</definedName>
    <definedName name="OSRRefP22_3x_0" localSheetId="47">'Div 3'!$P$151:$P$152</definedName>
    <definedName name="OSRRefP22_3x_0" localSheetId="70">'Div 4'!$P$47</definedName>
    <definedName name="OSRRefP22_3x_0" localSheetId="92">'Div 5'!$P$40</definedName>
    <definedName name="OSRRefP22_3x_0" localSheetId="61">'Div 6'!$P$72</definedName>
    <definedName name="OSRRefP22_3x_0" localSheetId="2">Summary!$P$178:$P$179</definedName>
    <definedName name="OSRRefP22_4x_0" localSheetId="41">'201'!$P$37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'205'!$P$35:$P$36</definedName>
    <definedName name="OSRRefP22_4x_0" localSheetId="46">'206'!$P$37</definedName>
    <definedName name="OSRRefP22_4x_0" localSheetId="48">'300'!$P$149</definedName>
    <definedName name="OSRRefP22_4x_0" localSheetId="49">'300 &amp; 317'!$P$172</definedName>
    <definedName name="OSRRefP22_4x_0" localSheetId="50">'301'!$P$45</definedName>
    <definedName name="OSRRefP22_4x_0" localSheetId="55">'307'!$P$56:$P$57</definedName>
    <definedName name="OSRRefP22_4x_0" localSheetId="51">'308'!$P$84</definedName>
    <definedName name="OSRRefP22_4x_0" localSheetId="64">'309'!$P$29</definedName>
    <definedName name="OSRRefP22_4x_0" localSheetId="63">'310'!$P$50</definedName>
    <definedName name="OSRRefP22_4x_0" localSheetId="71">'310 &amp; 491'!$P$55</definedName>
    <definedName name="OSRRefP22_4x_0" localSheetId="52">'311'!$P$84</definedName>
    <definedName name="OSRRefP22_4x_0" localSheetId="65">'313'!$P$40</definedName>
    <definedName name="OSRRefP22_4x_0" localSheetId="57">'315'!$P$107</definedName>
    <definedName name="OSRRefP22_4x_0" localSheetId="60">'316'!$P$50</definedName>
    <definedName name="OSRRefP22_4x_0" localSheetId="62">'317'!$P$74</definedName>
    <definedName name="OSRRefP22_4x_0" localSheetId="66">'321'!$P$43</definedName>
    <definedName name="OSRRefP22_4x_0" localSheetId="67">'322'!$P$33:$P$34</definedName>
    <definedName name="OSRRefP22_4x_0" localSheetId="68">'325'!$P$41</definedName>
    <definedName name="OSRRefP22_4x_0" localSheetId="58">'326'!$P$70</definedName>
    <definedName name="OSRRefP22_4x_0" localSheetId="56">'331'!$P$106</definedName>
    <definedName name="OSRRefP22_4x_0" localSheetId="59">'332'!$P$52</definedName>
    <definedName name="OSRRefP22_4x_0" localSheetId="54">'333'!$P$108</definedName>
    <definedName name="OSRRefP22_4x_0" localSheetId="73">'405'!$P$42</definedName>
    <definedName name="OSRRefP22_4x_0" localSheetId="74">'406'!$P$28</definedName>
    <definedName name="OSRRefP22_4x_0" localSheetId="75">'411'!$P$40</definedName>
    <definedName name="OSRRefP22_4x_0" localSheetId="76">'412'!$P$29</definedName>
    <definedName name="OSRRefP22_4x_0" localSheetId="77">'413'!$P$32</definedName>
    <definedName name="OSRRefP22_4x_0" localSheetId="78">'414'!$P$29:$P$30</definedName>
    <definedName name="OSRRefP22_4x_0" localSheetId="79">'415'!$P$42</definedName>
    <definedName name="OSRRefP22_4x_0" localSheetId="80">'418'!$P$39:$P$40</definedName>
    <definedName name="OSRRefP22_4x_0" localSheetId="84">'425'!$P$34</definedName>
    <definedName name="OSRRefP22_4x_0" localSheetId="87">'430'!$P$35</definedName>
    <definedName name="OSRRefP22_4x_0" localSheetId="88">'433'!$P$45</definedName>
    <definedName name="OSRRefP22_4x_0" localSheetId="90">'444'!$P$45</definedName>
    <definedName name="OSRRefP22_4x_0" localSheetId="91">'450'!$P$45</definedName>
    <definedName name="OSRRefP22_4x_0" localSheetId="72">'491'!$P$46</definedName>
    <definedName name="OSRRefP22_4x_0" localSheetId="86">'492'!$P$46</definedName>
    <definedName name="OSRRefP22_4x_0" localSheetId="93">'501'!$P$42:$P$43</definedName>
    <definedName name="OSRRefP22_4x_0" localSheetId="39">'Div 2'!$P$43</definedName>
    <definedName name="OSRRefP22_4x_0" localSheetId="47">'Div 3'!$P$154</definedName>
    <definedName name="OSRRefP22_4x_0" localSheetId="70">'Div 4'!$P$49</definedName>
    <definedName name="OSRRefP22_4x_0" localSheetId="92">'Div 5'!$P$42:$P$43</definedName>
    <definedName name="OSRRefP22_4x_0" localSheetId="61">'Div 6'!$P$74</definedName>
    <definedName name="OSRRefP22_4x_0" localSheetId="2">Summary!$P$181</definedName>
    <definedName name="OSRRefP22_5x_0" localSheetId="41">'201'!$P$39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'205'!$P$38:$P$40</definedName>
    <definedName name="OSRRefP22_5x_0" localSheetId="46">'206'!$P$39</definedName>
    <definedName name="OSRRefP22_5x_0" localSheetId="48">'300'!$P$151:$P$152</definedName>
    <definedName name="OSRRefP22_5x_0" localSheetId="49">'300 &amp; 317'!$P$174:$P$175</definedName>
    <definedName name="OSRRefP22_5x_0" localSheetId="50">'301'!$P$47:$P$48</definedName>
    <definedName name="OSRRefP22_5x_0" localSheetId="55">'307'!$P$59</definedName>
    <definedName name="OSRRefP22_5x_0" localSheetId="51">'308'!$P$86</definedName>
    <definedName name="OSRRefP22_5x_0" localSheetId="64">'309'!$P$31:$P$32</definedName>
    <definedName name="OSRRefP22_5x_0" localSheetId="63">'310'!$P$52:$P$53</definedName>
    <definedName name="OSRRefP22_5x_0" localSheetId="71">'310 &amp; 491'!$P$57:$P$58</definedName>
    <definedName name="OSRRefP22_5x_0" localSheetId="52">'311'!$P$86</definedName>
    <definedName name="OSRRefP22_5x_0" localSheetId="65">'313'!$P$42</definedName>
    <definedName name="OSRRefP22_5x_0" localSheetId="57">'315'!$P$109</definedName>
    <definedName name="OSRRefP22_5x_0" localSheetId="60">'316'!$P$52</definedName>
    <definedName name="OSRRefP22_5x_0" localSheetId="62">'317'!$P$76:$P$77</definedName>
    <definedName name="OSRRefP22_5x_0" localSheetId="66">'321'!$P$45</definedName>
    <definedName name="OSRRefP22_5x_0" localSheetId="67">'322'!$P$36</definedName>
    <definedName name="OSRRefP22_5x_0" localSheetId="68">'325'!$P$43:$P$44</definedName>
    <definedName name="OSRRefP22_5x_0" localSheetId="58">'326'!$P$72</definedName>
    <definedName name="OSRRefP22_5x_0" localSheetId="56">'331'!$P$108:$P$109</definedName>
    <definedName name="OSRRefP22_5x_0" localSheetId="59">'332'!$P$54</definedName>
    <definedName name="OSRRefP22_5x_0" localSheetId="54">'333'!$P$110:$P$111</definedName>
    <definedName name="OSRRefP22_5x_0" localSheetId="73">'405'!$P$44:$P$45</definedName>
    <definedName name="OSRRefP22_5x_0" localSheetId="75">'411'!$P$42</definedName>
    <definedName name="OSRRefP22_5x_0" localSheetId="77">'413'!$P$34</definedName>
    <definedName name="OSRRefP22_5x_0" localSheetId="79">'415'!$P$44:$P$45</definedName>
    <definedName name="OSRRefP22_5x_0" localSheetId="80">'418'!$P$42</definedName>
    <definedName name="OSRRefP22_5x_0" localSheetId="84">'425'!$P$36:$P$37</definedName>
    <definedName name="OSRRefP22_5x_0" localSheetId="87">'430'!$P$37:$P$38</definedName>
    <definedName name="OSRRefP22_5x_0" localSheetId="88">'433'!$P$47</definedName>
    <definedName name="OSRRefP22_5x_0" localSheetId="90">'444'!$P$47</definedName>
    <definedName name="OSRRefP22_5x_0" localSheetId="91">'450'!$P$47</definedName>
    <definedName name="OSRRefP22_5x_0" localSheetId="72">'491'!$P$48:$P$49</definedName>
    <definedName name="OSRRefP22_5x_0" localSheetId="86">'492'!$P$48</definedName>
    <definedName name="OSRRefP22_5x_0" localSheetId="93">'501'!$P$45</definedName>
    <definedName name="OSRRefP22_5x_0" localSheetId="39">'Div 2'!$P$45</definedName>
    <definedName name="OSRRefP22_5x_0" localSheetId="47">'Div 3'!$P$156:$P$157</definedName>
    <definedName name="OSRRefP22_5x_0" localSheetId="70">'Div 4'!$P$51:$P$52</definedName>
    <definedName name="OSRRefP22_5x_0" localSheetId="92">'Div 5'!$P$45</definedName>
    <definedName name="OSRRefP22_5x_0" localSheetId="61">'Div 6'!$P$76:$P$77</definedName>
    <definedName name="OSRRefP22_5x_0" localSheetId="2">Summary!$P$183:$P$184</definedName>
    <definedName name="OSRRefP22_6x_0" localSheetId="41">'201'!$P$41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'205'!$P$42</definedName>
    <definedName name="OSRRefP22_6x_0" localSheetId="46">'206'!$P$41</definedName>
    <definedName name="OSRRefP22_6x_0" localSheetId="48">'300'!$P$154:$P$155</definedName>
    <definedName name="OSRRefP22_6x_0" localSheetId="49">'300 &amp; 317'!$P$177:$P$178</definedName>
    <definedName name="OSRRefP22_6x_0" localSheetId="50">'301'!$P$50:$P$51</definedName>
    <definedName name="OSRRefP22_6x_0" localSheetId="55">'307'!$P$61</definedName>
    <definedName name="OSRRefP22_6x_0" localSheetId="51">'308'!$P$88:$P$89</definedName>
    <definedName name="OSRRefP22_6x_0" localSheetId="64">'309'!$P$34:$P$35</definedName>
    <definedName name="OSRRefP22_6x_0" localSheetId="63">'310'!$P$55</definedName>
    <definedName name="OSRRefP22_6x_0" localSheetId="71">'310 &amp; 491'!$P$60</definedName>
    <definedName name="OSRRefP22_6x_0" localSheetId="52">'311'!$P$88:$P$89</definedName>
    <definedName name="OSRRefP22_6x_0" localSheetId="65">'313'!$P$44</definedName>
    <definedName name="OSRRefP22_6x_0" localSheetId="57">'315'!$P$111:$P$112</definedName>
    <definedName name="OSRRefP22_6x_0" localSheetId="60">'316'!$P$54:$P$55</definedName>
    <definedName name="OSRRefP22_6x_0" localSheetId="62">'317'!$P$79</definedName>
    <definedName name="OSRRefP22_6x_0" localSheetId="66">'321'!$P$47:$P$48</definedName>
    <definedName name="OSRRefP22_6x_0" localSheetId="67">'322'!$P$38</definedName>
    <definedName name="OSRRefP22_6x_0" localSheetId="68">'325'!$P$46</definedName>
    <definedName name="OSRRefP22_6x_0" localSheetId="58">'326'!$P$74</definedName>
    <definedName name="OSRRefP22_6x_0" localSheetId="56">'331'!$P$111</definedName>
    <definedName name="OSRRefP22_6x_0" localSheetId="59">'332'!$P$56:$P$57</definedName>
    <definedName name="OSRRefP22_6x_0" localSheetId="54">'333'!$P$113</definedName>
    <definedName name="OSRRefP22_6x_0" localSheetId="73">'405'!$P$47</definedName>
    <definedName name="OSRRefP22_6x_0" localSheetId="75">'411'!$P$44</definedName>
    <definedName name="OSRRefP22_6x_0" localSheetId="79">'415'!$P$47</definedName>
    <definedName name="OSRRefP22_6x_0" localSheetId="80">'418'!$P$44</definedName>
    <definedName name="OSRRefP22_6x_0" localSheetId="84">'425'!$P$39</definedName>
    <definedName name="OSRRefP22_6x_0" localSheetId="87">'430'!$P$40</definedName>
    <definedName name="OSRRefP22_6x_0" localSheetId="88">'433'!$P$49</definedName>
    <definedName name="OSRRefP22_6x_0" localSheetId="90">'444'!$P$49</definedName>
    <definedName name="OSRRefP22_6x_0" localSheetId="91">'450'!$P$49</definedName>
    <definedName name="OSRRefP22_6x_0" localSheetId="72">'491'!$P$51</definedName>
    <definedName name="OSRRefP22_6x_0" localSheetId="86">'492'!$P$50</definedName>
    <definedName name="OSRRefP22_6x_0" localSheetId="93">'501'!$P$47</definedName>
    <definedName name="OSRRefP22_6x_0" localSheetId="39">'Div 2'!$P$47</definedName>
    <definedName name="OSRRefP22_6x_0" localSheetId="47">'Div 3'!$P$159:$P$160</definedName>
    <definedName name="OSRRefP22_6x_0" localSheetId="70">'Div 4'!$P$54</definedName>
    <definedName name="OSRRefP22_6x_0" localSheetId="92">'Div 5'!$P$47</definedName>
    <definedName name="OSRRefP22_6x_0" localSheetId="61">'Div 6'!$P$79</definedName>
    <definedName name="OSRRefP22_6x_0" localSheetId="2">Summary!$P$186:$P$187</definedName>
    <definedName name="OSRRefP22_7x_0" localSheetId="41">'201'!$P$43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'300'!$P$157</definedName>
    <definedName name="OSRRefP22_7x_0" localSheetId="49">'300 &amp; 317'!$P$180</definedName>
    <definedName name="OSRRefP22_7x_0" localSheetId="50">'301'!$P$53</definedName>
    <definedName name="OSRRefP22_7x_0" localSheetId="55">'307'!$P$63</definedName>
    <definedName name="OSRRefP22_7x_0" localSheetId="51">'308'!$P$91</definedName>
    <definedName name="OSRRefP22_7x_0" localSheetId="64">'309'!$P$37:$P$38</definedName>
    <definedName name="OSRRefP22_7x_0" localSheetId="63">'310'!$P$57</definedName>
    <definedName name="OSRRefP22_7x_0" localSheetId="71">'310 &amp; 491'!$P$62</definedName>
    <definedName name="OSRRefP22_7x_0" localSheetId="52">'311'!$P$91</definedName>
    <definedName name="OSRRefP22_7x_0" localSheetId="65">'313'!$P$46</definedName>
    <definedName name="OSRRefP22_7x_0" localSheetId="57">'315'!$P$114:$P$115</definedName>
    <definedName name="OSRRefP22_7x_0" localSheetId="60">'316'!$P$57</definedName>
    <definedName name="OSRRefP22_7x_0" localSheetId="62">'317'!$P$81</definedName>
    <definedName name="OSRRefP22_7x_0" localSheetId="66">'321'!$P$50</definedName>
    <definedName name="OSRRefP22_7x_0" localSheetId="67">'322'!$P$40</definedName>
    <definedName name="OSRRefP22_7x_0" localSheetId="68">'325'!$P$48</definedName>
    <definedName name="OSRRefP22_7x_0" localSheetId="58">'326'!$P$76</definedName>
    <definedName name="OSRRefP22_7x_0" localSheetId="56">'331'!$P$113</definedName>
    <definedName name="OSRRefP22_7x_0" localSheetId="59">'332'!$P$59</definedName>
    <definedName name="OSRRefP22_7x_0" localSheetId="54">'333'!$P$115</definedName>
    <definedName name="OSRRefP22_7x_0" localSheetId="73">'405'!$P$49</definedName>
    <definedName name="OSRRefP22_7x_0" localSheetId="75">'411'!$P$46</definedName>
    <definedName name="OSRRefP22_7x_0" localSheetId="79">'415'!$P$49</definedName>
    <definedName name="OSRRefP22_7x_0" localSheetId="80">'418'!$P$46</definedName>
    <definedName name="OSRRefP22_7x_0" localSheetId="84">'425'!$P$41</definedName>
    <definedName name="OSRRefP22_7x_0" localSheetId="87">'430'!$P$42</definedName>
    <definedName name="OSRRefP22_7x_0" localSheetId="88">'433'!$P$51</definedName>
    <definedName name="OSRRefP22_7x_0" localSheetId="90">'444'!$P$51</definedName>
    <definedName name="OSRRefP22_7x_0" localSheetId="91">'450'!$P$51</definedName>
    <definedName name="OSRRefP22_7x_0" localSheetId="72">'491'!$P$53</definedName>
    <definedName name="OSRRefP22_7x_0" localSheetId="86">'492'!$P$52</definedName>
    <definedName name="OSRRefP22_7x_0" localSheetId="93">'501'!$P$49:$P$51</definedName>
    <definedName name="OSRRefP22_7x_0" localSheetId="39">'Div 2'!$P$49</definedName>
    <definedName name="OSRRefP22_7x_0" localSheetId="47">'Div 3'!$P$162</definedName>
    <definedName name="OSRRefP22_7x_0" localSheetId="70">'Div 4'!$P$56</definedName>
    <definedName name="OSRRefP22_7x_0" localSheetId="92">'Div 5'!$P$49:$P$51</definedName>
    <definedName name="OSRRefP22_7x_0" localSheetId="61">'Div 6'!$P$81</definedName>
    <definedName name="OSRRefP22_7x_0" localSheetId="2">Summary!$P$189</definedName>
    <definedName name="OSRRefP22_8x_0" localSheetId="41">'201'!$P$45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'300'!$P$159</definedName>
    <definedName name="OSRRefP22_8x_0" localSheetId="49">'300 &amp; 317'!$P$182</definedName>
    <definedName name="OSRRefP22_8x_0" localSheetId="50">'301'!$P$55</definedName>
    <definedName name="OSRRefP22_8x_0" localSheetId="55">'307'!$P$65:$P$66</definedName>
    <definedName name="OSRRefP22_8x_0" localSheetId="51">'308'!$P$93</definedName>
    <definedName name="OSRRefP22_8x_0" localSheetId="64">'309'!$P$40</definedName>
    <definedName name="OSRRefP22_8x_0" localSheetId="63">'310'!$P$59</definedName>
    <definedName name="OSRRefP22_8x_0" localSheetId="71">'310 &amp; 491'!$P$64:$P$65</definedName>
    <definedName name="OSRRefP22_8x_0" localSheetId="52">'311'!$P$93</definedName>
    <definedName name="OSRRefP22_8x_0" localSheetId="57">'315'!$P$117</definedName>
    <definedName name="OSRRefP22_8x_0" localSheetId="60">'316'!$P$59:$P$61</definedName>
    <definedName name="OSRRefP22_8x_0" localSheetId="62">'317'!$P$83:$P$85</definedName>
    <definedName name="OSRRefP22_8x_0" localSheetId="66">'321'!$P$52:$P$53</definedName>
    <definedName name="OSRRefP22_8x_0" localSheetId="68">'325'!$P$50</definedName>
    <definedName name="OSRRefP22_8x_0" localSheetId="58">'326'!$P$78</definedName>
    <definedName name="OSRRefP22_8x_0" localSheetId="56">'331'!$P$115:$P$116</definedName>
    <definedName name="OSRRefP22_8x_0" localSheetId="59">'332'!$P$61:$P$63</definedName>
    <definedName name="OSRRefP22_8x_0" localSheetId="54">'333'!$P$117:$P$118</definedName>
    <definedName name="OSRRefP22_8x_0" localSheetId="73">'405'!$P$51</definedName>
    <definedName name="OSRRefP22_8x_0" localSheetId="75">'411'!$P$48</definedName>
    <definedName name="OSRRefP22_8x_0" localSheetId="79">'415'!$P$51</definedName>
    <definedName name="OSRRefP22_8x_0" localSheetId="80">'418'!$P$48:$P$49</definedName>
    <definedName name="OSRRefP22_8x_0" localSheetId="84">'425'!$P$43</definedName>
    <definedName name="OSRRefP22_8x_0" localSheetId="87">'430'!$P$44</definedName>
    <definedName name="OSRRefP22_8x_0" localSheetId="88">'433'!$P$53</definedName>
    <definedName name="OSRRefP22_8x_0" localSheetId="90">'444'!$P$53</definedName>
    <definedName name="OSRRefP22_8x_0" localSheetId="91">'450'!$P$53</definedName>
    <definedName name="OSRRefP22_8x_0" localSheetId="72">'491'!$P$55</definedName>
    <definedName name="OSRRefP22_8x_0" localSheetId="86">'492'!$P$54</definedName>
    <definedName name="OSRRefP22_8x_0" localSheetId="93">'501'!$P$53:$P$54</definedName>
    <definedName name="OSRRefP22_8x_0" localSheetId="39">'Div 2'!$P$51</definedName>
    <definedName name="OSRRefP22_8x_0" localSheetId="47">'Div 3'!$P$164</definedName>
    <definedName name="OSRRefP22_8x_0" localSheetId="70">'Div 4'!$P$58</definedName>
    <definedName name="OSRRefP22_8x_0" localSheetId="92">'Div 5'!$P$53:$P$54</definedName>
    <definedName name="OSRRefP22_8x_0" localSheetId="61">'Div 6'!$P$83:$P$85</definedName>
    <definedName name="OSRRefP22_8x_0" localSheetId="2">Summary!$P$191</definedName>
    <definedName name="OSRRefP22_9x_0" localSheetId="41">'201'!$P$47:$P$49</definedName>
    <definedName name="OSRRefP22_9x_0" localSheetId="42">'202'!$P$50:$P$51</definedName>
    <definedName name="OSRRefP22_9x_0" localSheetId="43">'203'!$P$53</definedName>
    <definedName name="OSRRefP22_9x_0" localSheetId="44">'204'!$P$52</definedName>
    <definedName name="OSRRefP22_9x_0" localSheetId="48">'300'!$P$161</definedName>
    <definedName name="OSRRefP22_9x_0" localSheetId="49">'300 &amp; 317'!$P$184</definedName>
    <definedName name="OSRRefP22_9x_0" localSheetId="50">'301'!$P$57</definedName>
    <definedName name="OSRRefP22_9x_0" localSheetId="55">'307'!$P$68:$P$69</definedName>
    <definedName name="OSRRefP22_9x_0" localSheetId="51">'308'!$P$95:$P$97</definedName>
    <definedName name="OSRRefP22_9x_0" localSheetId="63">'310'!$P$61</definedName>
    <definedName name="OSRRefP22_9x_0" localSheetId="71">'310 &amp; 491'!$P$67</definedName>
    <definedName name="OSRRefP22_9x_0" localSheetId="52">'311'!$P$95:$P$97</definedName>
    <definedName name="OSRRefP22_9x_0" localSheetId="57">'315'!$P$119:$P$120</definedName>
    <definedName name="OSRRefP22_9x_0" localSheetId="60">'316'!$P$63</definedName>
    <definedName name="OSRRefP22_9x_0" localSheetId="62">'317'!$P$87</definedName>
    <definedName name="OSRRefP22_9x_0" localSheetId="66">'321'!$P$55:$P$59</definedName>
    <definedName name="OSRRefP22_9x_0" localSheetId="68">'325'!$P$52</definedName>
    <definedName name="OSRRefP22_9x_0" localSheetId="58">'326'!$P$80</definedName>
    <definedName name="OSRRefP22_9x_0" localSheetId="56">'331'!$P$118</definedName>
    <definedName name="OSRRefP22_9x_0" localSheetId="59">'332'!$P$65</definedName>
    <definedName name="OSRRefP22_9x_0" localSheetId="54">'333'!$P$120</definedName>
    <definedName name="OSRRefP22_9x_0" localSheetId="73">'405'!$P$53</definedName>
    <definedName name="OSRRefP22_9x_0" localSheetId="75">'411'!$P$50:$P$52</definedName>
    <definedName name="OSRRefP22_9x_0" localSheetId="79">'415'!$P$53</definedName>
    <definedName name="OSRRefP22_9x_0" localSheetId="80">'418'!$P$51</definedName>
    <definedName name="OSRRefP22_9x_0" localSheetId="88">'433'!$P$55</definedName>
    <definedName name="OSRRefP22_9x_0" localSheetId="90">'444'!$P$55</definedName>
    <definedName name="OSRRefP22_9x_0" localSheetId="91">'450'!$P$55</definedName>
    <definedName name="OSRRefP22_9x_0" localSheetId="72">'491'!$P$57</definedName>
    <definedName name="OSRRefP22_9x_0" localSheetId="86">'492'!$P$56</definedName>
    <definedName name="OSRRefP22_9x_0" localSheetId="93">'501'!$P$56</definedName>
    <definedName name="OSRRefP22_9x_0" localSheetId="39">'Div 2'!$P$53:$P$54</definedName>
    <definedName name="OSRRefP22_9x_0" localSheetId="47">'Div 3'!$P$166</definedName>
    <definedName name="OSRRefP22_9x_0" localSheetId="70">'Div 4'!$P$60</definedName>
    <definedName name="OSRRefP22_9x_0" localSheetId="92">'Div 5'!$P$56</definedName>
    <definedName name="OSRRefP22_9x_0" localSheetId="61">'Div 6'!$P$87</definedName>
    <definedName name="OSRRefP22_9x_0" localSheetId="2">Summary!$P$193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'201'!$P$20:$P$27,'201'!$P$29:$P$31,'201'!$P$33,'201'!$P$35,'201'!$P$37,'201'!$P$39,'201'!$P$41,'201'!$P$43,'201'!$P$45,'201'!$P$47:$P$49,'201'!$P$51:$P$52,'201'!$P$54,'201'!$P$56:$P$57,'201'!$P$59,'201'!$P$61</definedName>
    <definedName name="OSRRefP22x_0" localSheetId="42">'202'!$P$20:$P$27,'202'!$P$29:$P$31,'202'!$P$33,'202'!$P$35,'202'!$P$37,'202'!$P$39:$P$40,'202'!$P$42,'202'!$P$44:$P$46,'202'!$P$48,'202'!$P$50:$P$51,'202'!$P$53,'202'!$P$55,'202'!$P$57</definedName>
    <definedName name="OSRRefP22x_0" localSheetId="43">'203'!$P$20:$P$29,'203'!$P$31:$P$35,'203'!$P$37,'203'!$P$39,'203'!$P$41,'203'!$P$43,'203'!$P$45,'203'!$P$47:$P$48,'203'!$P$50:$P$51,'203'!$P$53,'203'!$P$55:$P$58,'203'!$P$60,'203'!$P$62,'203'!$P$64</definedName>
    <definedName name="OSRRefP22x_0" localSheetId="44">'204'!$P$20:$P$28,'204'!$P$30:$P$32,'204'!$P$34,'204'!$P$36,'204'!$P$38,'204'!$P$40:$P$43,'204'!$P$45,'204'!$P$47:$P$48,'204'!$P$50,'204'!$P$52</definedName>
    <definedName name="OSRRefP22x_0" localSheetId="45">'205'!$P$20:$P$27,'205'!$P$29,'205'!$P$31,'205'!$P$33,'205'!$P$35:$P$36,'205'!$P$38:$P$40,'205'!$P$42</definedName>
    <definedName name="OSRRefP22x_0" localSheetId="46">'206'!$P$20:$P$27,'206'!$P$29:$P$31,'206'!$P$33,'206'!$P$35,'206'!$P$37,'206'!$P$39,'206'!$P$41</definedName>
    <definedName name="OSRRefP22x_0" localSheetId="48">'300'!$P$125:$P$134,'300'!$P$136:$P$142,'300'!$P$144,'300'!$P$146:$P$147,'300'!$P$149,'300'!$P$151:$P$152,'300'!$P$154:$P$155,'300'!$P$157,'300'!$P$159,'300'!$P$161,'300'!$P$163:$P$164,'300'!$P$166,'300'!$P$168,'300'!$P$170:$P$171,'300'!$P$173,'300'!$P$175,'300'!$P$177:$P$180,'300'!$P$182:$P$184,'300'!$P$186:$P$189,'300'!$P$191:$P$192,'300'!$P$194:$P$200,'300'!$P$202:$P$203,'300'!$P$205,'300'!$P$207:$P$209,'300'!$P$211</definedName>
    <definedName name="OSRRefP22x_0" localSheetId="49">'300 &amp; 317'!$P$148:$P$157,'300 &amp; 317'!$P$159:$P$165,'300 &amp; 317'!$P$167,'300 &amp; 317'!$P$169:$P$170,'300 &amp; 317'!$P$172,'300 &amp; 317'!$P$174:$P$175,'300 &amp; 317'!$P$177:$P$178,'300 &amp; 317'!$P$180,'300 &amp; 317'!$P$182,'300 &amp; 317'!$P$184,'300 &amp; 317'!$P$186:$P$187,'300 &amp; 317'!$P$189,'300 &amp; 317'!$P$191,'300 &amp; 317'!$P$193:$P$194,'300 &amp; 317'!$P$196,'300 &amp; 317'!$P$198,'300 &amp; 317'!$P$200:$P$203,'300 &amp; 317'!$P$205:$P$207,'300 &amp; 317'!$P$209:$P$212,'300 &amp; 317'!$P$214:$P$215,'300 &amp; 317'!$P$217:$P$223,'300 &amp; 317'!$P$225:$P$226,'300 &amp; 317'!$P$228,'300 &amp; 317'!$P$230:$P$232,'300 &amp; 317'!$P$234</definedName>
    <definedName name="OSRRefP22x_0" localSheetId="50">'301'!$P$21:$P$30,'301'!$P$32:$P$38,'301'!$P$40,'301'!$P$42:$P$43,'301'!$P$45,'301'!$P$47:$P$48,'301'!$P$50:$P$51,'301'!$P$53,'301'!$P$55,'301'!$P$57,'301'!$P$59,'301'!$P$61,'301'!$P$63,'301'!$P$65,'301'!$P$67,'301'!$P$69:$P$72,'301'!$P$74:$P$76,'301'!$P$78,'301'!$P$80:$P$85,'301'!$P$87,'301'!$P$89,'301'!$P$91:$P$92,'301'!$P$94</definedName>
    <definedName name="OSRRefP22x_0" localSheetId="55">'307'!$P$43:$P$45,'307'!$P$47:$P$50,'307'!$P$52,'307'!$P$54,'307'!$P$56:$P$57,'307'!$P$59,'307'!$P$61,'307'!$P$63,'307'!$P$65:$P$66,'307'!$P$68:$P$69,'307'!$P$71:$P$74,'307'!$P$76,'307'!$P$78</definedName>
    <definedName name="OSRRefP22x_0" localSheetId="51">'308'!$P$61:$P$69,'308'!$P$71:$P$77,'308'!$P$79,'308'!$P$81:$P$82,'308'!$P$84,'308'!$P$86,'308'!$P$88:$P$89,'308'!$P$91,'308'!$P$93,'308'!$P$95:$P$97,'308'!$P$99:$P$100,'308'!$P$102:$P$103,'308'!$P$105:$P$106,'308'!$P$108</definedName>
    <definedName name="OSRRefP22x_0" localSheetId="64">'309'!$P$21,'309'!$P$23,'309'!$P$25,'309'!$P$27,'309'!$P$29,'309'!$P$31:$P$32,'309'!$P$34:$P$35,'309'!$P$37:$P$38,'309'!$P$40</definedName>
    <definedName name="OSRRefP22x_0" localSheetId="63">'310'!$P$31:$P$39,'310'!$P$41:$P$44,'310'!$P$46,'310'!$P$48,'310'!$P$50,'310'!$P$52:$P$53,'310'!$P$55,'310'!$P$57,'310'!$P$59,'310'!$P$61,'310'!$P$63,'310'!$P$65:$P$66,'310'!$P$68,'310'!$P$70:$P$73,'310'!$P$75:$P$80,'310'!$P$82,'310'!$P$84</definedName>
    <definedName name="OSRRefP22x_0" localSheetId="71">'310 &amp; 491'!$P$35:$P$43,'310 &amp; 491'!$P$45:$P$49,'310 &amp; 491'!$P$51,'310 &amp; 491'!$P$53,'310 &amp; 491'!$P$55,'310 &amp; 491'!$P$57:$P$58,'310 &amp; 491'!$P$60,'310 &amp; 491'!$P$62,'310 &amp; 491'!$P$64:$P$65,'310 &amp; 491'!$P$67,'310 &amp; 491'!$P$69,'310 &amp; 491'!$P$71,'310 &amp; 491'!$P$73,'310 &amp; 491'!$P$75:$P$77,'310 &amp; 491'!$P$79,'310 &amp; 491'!$P$81:$P$84,'310 &amp; 491'!$P$86,'310 &amp; 491'!$P$88:$P$96,'310 &amp; 491'!$P$98,'310 &amp; 491'!$P$100,'310 &amp; 491'!$P$102:$P$103,'310 &amp; 491'!$P$105</definedName>
    <definedName name="OSRRefP22x_0" localSheetId="52">'311'!$P$61:$P$69,'311'!$P$71:$P$77,'311'!$P$79,'311'!$P$81:$P$82,'311'!$P$84,'311'!$P$86,'311'!$P$88:$P$89,'311'!$P$91,'311'!$P$93,'311'!$P$95:$P$97,'311'!$P$99:$P$100,'311'!$P$102:$P$103,'311'!$P$105:$P$106,'311'!$P$108</definedName>
    <definedName name="OSRRefP22x_0" localSheetId="65">'313'!$P$25:$P$32,'313'!$P$34,'313'!$P$36,'313'!$P$38,'313'!$P$40,'313'!$P$42,'313'!$P$44,'313'!$P$46</definedName>
    <definedName name="OSRRefP22x_0" localSheetId="57">'315'!$P$87:$P$94,'315'!$P$96:$P$100,'315'!$P$102,'315'!$P$104:$P$105,'315'!$P$107,'315'!$P$109,'315'!$P$111:$P$112,'315'!$P$114:$P$115,'315'!$P$117,'315'!$P$119:$P$120,'315'!$P$122:$P$123,'315'!$P$125:$P$126,'315'!$P$128:$P$132,'315'!$P$134,'315'!$P$136</definedName>
    <definedName name="OSRRefP22x_0" localSheetId="60">'316'!$P$33:$P$40,'316'!$P$42:$P$44,'316'!$P$46,'316'!$P$48,'316'!$P$50,'316'!$P$52,'316'!$P$54:$P$55,'316'!$P$57,'316'!$P$59:$P$61,'316'!$P$63,'316'!$P$65:$P$69,'316'!$P$71,'316'!$P$73</definedName>
    <definedName name="OSRRefP22x_0" localSheetId="62">'317'!$P$54:$P$62,'317'!$P$64:$P$68,'317'!$P$70,'317'!$P$72,'317'!$P$74,'317'!$P$76:$P$77,'317'!$P$79,'317'!$P$81,'317'!$P$83:$P$85,'317'!$P$87,'317'!$P$89</definedName>
    <definedName name="OSRRefP22x_0" localSheetId="66">'321'!$P$24:$P$32,'321'!$P$34:$P$37,'321'!$P$39,'321'!$P$41,'321'!$P$43,'321'!$P$45,'321'!$P$47:$P$48,'321'!$P$50,'321'!$P$52:$P$53,'321'!$P$55:$P$59,'321'!$P$61,'321'!$P$63</definedName>
    <definedName name="OSRRefP22x_0" localSheetId="67">'322'!$P$21:$P$25,'322'!$P$27,'322'!$P$29,'322'!$P$31,'322'!$P$33:$P$34,'322'!$P$36,'322'!$P$38,'322'!$P$40</definedName>
    <definedName name="OSRRefP22x_0" localSheetId="68">'325'!$P$24:$P$31,'325'!$P$33:$P$35,'325'!$P$37,'325'!$P$39,'325'!$P$41,'325'!$P$43:$P$44,'325'!$P$46,'325'!$P$48,'325'!$P$50,'325'!$P$52,'325'!$P$54:$P$55,'325'!$P$57:$P$60,'325'!$P$62:$P$66,'325'!$P$68,'325'!$P$70</definedName>
    <definedName name="OSRRefP22x_0" localSheetId="58">'326'!$P$51:$P$58,'326'!$P$60:$P$64,'326'!$P$66,'326'!$P$68,'326'!$P$70,'326'!$P$72,'326'!$P$74,'326'!$P$76,'326'!$P$78,'326'!$P$80,'326'!$P$82,'326'!$P$84:$P$86,'326'!$P$88:$P$90,'326'!$P$92:$P$93,'326'!$P$95:$P$98,'326'!$P$100,'326'!$P$102,'326'!$P$104</definedName>
    <definedName name="OSRRefP22x_0" localSheetId="69">'327'!$P$24,'327'!$P$26</definedName>
    <definedName name="OSRRefP22x_0" localSheetId="56">'331'!$P$87:$P$94,'331'!$P$96:$P$100,'331'!$P$102,'331'!$P$104,'331'!$P$106,'331'!$P$108:$P$109,'331'!$P$111,'331'!$P$113,'331'!$P$115:$P$116,'331'!$P$118,'331'!$P$120,'331'!$P$122:$P$123,'331'!$P$125,'331'!$P$127,'331'!$P$129:$P$131,'331'!$P$133:$P$134,'331'!$P$136:$P$138,'331'!$P$140:$P$141,'331'!$P$143:$P$148,'331'!$P$150,'331'!$P$152,'331'!$P$154</definedName>
    <definedName name="OSRRefP22x_0" localSheetId="59">'332'!$P$35:$P$42,'332'!$P$44:$P$46,'332'!$P$48,'332'!$P$50,'332'!$P$52,'332'!$P$54,'332'!$P$56:$P$57,'332'!$P$59,'332'!$P$61:$P$63,'332'!$P$65,'332'!$P$67:$P$71,'332'!$P$73,'332'!$P$75</definedName>
    <definedName name="OSRRefP22x_0" localSheetId="54">'333'!$P$89:$P$96,'333'!$P$98:$P$102,'333'!$P$104,'333'!$P$106,'333'!$P$108,'333'!$P$110:$P$111,'333'!$P$113,'333'!$P$115,'333'!$P$117:$P$118,'333'!$P$120,'333'!$P$122,'333'!$P$124:$P$125,'333'!$P$127,'333'!$P$129,'333'!$P$131:$P$133,'333'!$P$135:$P$136,'333'!$P$138:$P$141,'333'!$P$143:$P$144,'333'!$P$146:$P$151,'333'!$P$153,'333'!$P$155,'333'!$P$157,'333'!$P$159</definedName>
    <definedName name="OSRRefP22x_0" localSheetId="73">'405'!$P$24:$P$31,'405'!$P$33:$P$36,'405'!$P$38,'405'!$P$40,'405'!$P$42,'405'!$P$44:$P$45,'405'!$P$47,'405'!$P$49,'405'!$P$51,'405'!$P$53,'405'!$P$55:$P$56,'405'!$P$58:$P$61,'405'!$P$63,'405'!$P$65:$P$72,'405'!$P$74,'405'!$P$76</definedName>
    <definedName name="OSRRefP22x_0" localSheetId="74">'406'!$P$20,'406'!$P$22,'406'!$P$24,'406'!$P$26,'406'!$P$28</definedName>
    <definedName name="OSRRefP22x_0" localSheetId="75">'411'!$P$20:$P$27,'411'!$P$29:$P$33,'411'!$P$35,'411'!$P$37:$P$38,'411'!$P$40,'411'!$P$42,'411'!$P$44,'411'!$P$46,'411'!$P$48,'411'!$P$50:$P$52,'411'!$P$54:$P$56,'411'!$P$58:$P$59,'411'!$P$61,'411'!$P$63:$P$64,'411'!$P$66</definedName>
    <definedName name="OSRRefP22x_0" localSheetId="76">'412'!$P$20,'412'!$P$22,'412'!$P$24:$P$25,'412'!$P$27,'412'!$P$29</definedName>
    <definedName name="OSRRefP22x_0" localSheetId="77">'413'!$P$20:$P$24,'413'!$P$26,'413'!$P$28,'413'!$P$30,'413'!$P$32,'413'!$P$34</definedName>
    <definedName name="OSRRefP22x_0" localSheetId="78">'414'!$P$21,'414'!$P$23,'414'!$P$25,'414'!$P$27,'414'!$P$29:$P$30</definedName>
    <definedName name="OSRRefP22x_0" localSheetId="79">'415'!$P$24:$P$31,'415'!$P$33:$P$36,'415'!$P$38,'415'!$P$40,'415'!$P$42,'415'!$P$44:$P$45,'415'!$P$47,'415'!$P$49,'415'!$P$51,'415'!$P$53,'415'!$P$55,'415'!$P$57:$P$58,'415'!$P$60:$P$63,'415'!$P$65,'415'!$P$67:$P$72,'415'!$P$74,'415'!$P$76,'415'!$P$78</definedName>
    <definedName name="OSRRefP22x_0" localSheetId="80">'418'!$P$21:$P$28,'418'!$P$30:$P$33,'418'!$P$35,'418'!$P$37,'418'!$P$39:$P$40,'418'!$P$42,'418'!$P$44,'418'!$P$46,'418'!$P$48:$P$49,'418'!$P$51,'418'!$P$53,'418'!$P$55:$P$59,'418'!$P$61</definedName>
    <definedName name="OSRRefP22x_0" localSheetId="81">'420'!$P$21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'425'!$P$22:$P$26,'425'!$P$28,'425'!$P$30,'425'!$P$32,'425'!$P$34,'425'!$P$36:$P$37,'425'!$P$39,'425'!$P$41,'425'!$P$43</definedName>
    <definedName name="OSRRefP22x_0" localSheetId="87">'430'!$P$20:$P$27,'430'!$P$29,'430'!$P$31,'430'!$P$33,'430'!$P$35,'430'!$P$37:$P$38,'430'!$P$40,'430'!$P$42,'430'!$P$44</definedName>
    <definedName name="OSRRefP22x_0" localSheetId="88">'433'!$P$25:$P$33,'433'!$P$35:$P$39,'433'!$P$41,'433'!$P$43,'433'!$P$45,'433'!$P$47,'433'!$P$49,'433'!$P$51,'433'!$P$53,'433'!$P$55,'433'!$P$57,'433'!$P$59:$P$60,'433'!$P$62:$P$64,'433'!$P$66:$P$73,'433'!$P$75</definedName>
    <definedName name="OSRRefP22x_0" localSheetId="89">'435'!$P$20,'435'!$P$22</definedName>
    <definedName name="OSRRefP22x_0" localSheetId="90">'444'!$P$25:$P$33,'444'!$P$35:$P$39,'444'!$P$41,'444'!$P$43,'444'!$P$45,'444'!$P$47,'444'!$P$49,'444'!$P$51,'444'!$P$53,'444'!$P$55,'444'!$P$57,'444'!$P$59:$P$60,'444'!$P$62:$P$65,'444'!$P$67,'444'!$P$69:$P$76,'444'!$P$78,'444'!$P$80</definedName>
    <definedName name="OSRRefP22x_0" localSheetId="91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2">'491'!$P$27:$P$34,'491'!$P$36:$P$40,'491'!$P$42,'491'!$P$44,'491'!$P$46,'491'!$P$48:$P$49,'491'!$P$51,'491'!$P$53,'491'!$P$55,'491'!$P$57,'491'!$P$59,'491'!$P$61,'491'!$P$63,'491'!$P$65:$P$67,'491'!$P$69,'491'!$P$71:$P$74,'491'!$P$76,'491'!$P$78:$P$86,'491'!$P$88,'491'!$P$90,'491'!$P$92:$P$93,'491'!$P$95</definedName>
    <definedName name="OSRRefP22x_0" localSheetId="86">'492'!$P$25:$P$33,'492'!$P$35:$P$40,'492'!$P$42,'492'!$P$44,'492'!$P$46,'492'!$P$48,'492'!$P$50,'492'!$P$52,'492'!$P$54,'492'!$P$56,'492'!$P$58,'492'!$P$60,'492'!$P$62:$P$64,'492'!$P$66:$P$69,'492'!$P$71,'492'!$P$73:$P$80,'492'!$P$82,'492'!$P$84,'492'!$P$86:$P$87</definedName>
    <definedName name="OSRRefP22x_0" localSheetId="93">'501'!$P$21:$P$29,'501'!$P$31:$P$36,'501'!$P$38,'501'!$P$40,'501'!$P$42:$P$43,'501'!$P$45,'501'!$P$47,'501'!$P$49:$P$51,'501'!$P$53:$P$54,'501'!$P$56,'501'!$P$58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2'!$P$71,'Div 2'!$P$73:$P$77,'Div 2'!$P$79:$P$80,'Div 2'!$P$82,'Div 2'!$P$84:$P$85</definedName>
    <definedName name="OSRRefP22x_0" localSheetId="47">'Div 3'!$P$130:$P$139,'Div 3'!$P$141:$P$147,'Div 3'!$P$149,'Div 3'!$P$151:$P$152,'Div 3'!$P$154,'Div 3'!$P$156:$P$157,'Div 3'!$P$159:$P$160,'Div 3'!$P$162,'Div 3'!$P$164,'Div 3'!$P$166,'Div 3'!$P$168:$P$169,'Div 3'!$P$171,'Div 3'!$P$173,'Div 3'!$P$175,'Div 3'!$P$177:$P$178,'Div 3'!$P$180,'Div 3'!$P$182,'Div 3'!$P$184:$P$187,'Div 3'!$P$189:$P$191,'Div 3'!$P$193:$P$197,'Div 3'!$P$199:$P$200,'Div 3'!$P$202:$P$208,'Div 3'!$P$210:$P$211,'Div 3'!$P$213,'Div 3'!$P$215:$P$217,'Div 3'!$P$219</definedName>
    <definedName name="OSRRefP22x_0" localSheetId="70">'Div 4'!$P$28:$P$36,'Div 4'!$P$38:$P$43,'Div 4'!$P$45,'Div 4'!$P$47,'Div 4'!$P$49,'Div 4'!$P$51:$P$52,'Div 4'!$P$54,'Div 4'!$P$56,'Div 4'!$P$58,'Div 4'!$P$60,'Div 4'!$P$62,'Div 4'!$P$64,'Div 4'!$P$66,'Div 4'!$P$68,'Div 4'!$P$70,'Div 4'!$P$72:$P$74,'Div 4'!$P$76,'Div 4'!$P$78:$P$81,'Div 4'!$P$83:$P$84,'Div 4'!$P$86:$P$94,'Div 4'!$P$96,'Div 4'!$P$98,'Div 4'!$P$100:$P$101,'Div 4'!$P$103</definedName>
    <definedName name="OSRRefP22x_0" localSheetId="92">'Div 5'!$P$21:$P$29,'Div 5'!$P$31:$P$36,'Div 5'!$P$38,'Div 5'!$P$40,'Div 5'!$P$42:$P$43,'Div 5'!$P$45,'Div 5'!$P$47,'Div 5'!$P$49:$P$51,'Div 5'!$P$53:$P$54,'Div 5'!$P$56,'Div 5'!$P$58</definedName>
    <definedName name="OSRRefP22x_0" localSheetId="61">'Div 6'!$P$54:$P$62,'Div 6'!$P$64:$P$68,'Div 6'!$P$70,'Div 6'!$P$72,'Div 6'!$P$74,'Div 6'!$P$76:$P$77,'Div 6'!$P$79,'Div 6'!$P$81,'Div 6'!$P$83:$P$85,'Div 6'!$P$87,'Div 6'!$P$89</definedName>
    <definedName name="OSRRefP22x_0" localSheetId="2">Summary!$P$157:$P$166,Summary!$P$168:$P$174,Summary!$P$176,Summary!$P$178:$P$179,Summary!$P$181,Summary!$P$183:$P$184,Summary!$P$186:$P$187,Summary!$P$189,Summary!$P$191,Summary!$P$193,Summary!$P$195:$P$196,Summary!$P$198,Summary!$P$200,Summary!$P$202,Summary!$P$204:$P$205,Summary!$P$207,Summary!$P$209,Summary!$P$211,Summary!$P$213:$P$216,Summary!$P$218:$P$220,Summary!$P$222:$P$226,Summary!$P$228:$P$229,Summary!$P$231:$P$239,Summary!$P$241:$P$242,Summary!$P$244,Summary!$P$246:$P$248,Summary!$P$250</definedName>
    <definedName name="OSRRefP25x_0" localSheetId="48">'300'!$P$214:$P$217</definedName>
    <definedName name="OSRRefP25x_0" localSheetId="49">'300 &amp; 317'!$P$237:$P$242</definedName>
    <definedName name="OSRRefP25x_0" localSheetId="50">'301'!$P$97</definedName>
    <definedName name="OSRRefP25x_0" localSheetId="51">'308'!$P$111:$P$113</definedName>
    <definedName name="OSRRefP25x_0" localSheetId="71">'310 &amp; 491'!$P$108:$P$110</definedName>
    <definedName name="OSRRefP25x_0" localSheetId="52">'311'!$P$111:$P$113</definedName>
    <definedName name="OSRRefP25x_0" localSheetId="57">'315'!$P$139:$P$140</definedName>
    <definedName name="OSRRefP25x_0" localSheetId="60">'316'!$P$76</definedName>
    <definedName name="OSRRefP25x_0" localSheetId="62">'317'!$P$92:$P$94</definedName>
    <definedName name="OSRRefP25x_0" localSheetId="56">'331'!$P$157:$P$158</definedName>
    <definedName name="OSRRefP25x_0" localSheetId="59">'332'!$P$78:$P$79</definedName>
    <definedName name="OSRRefP25x_0" localSheetId="54">'333'!$P$162:$P$163</definedName>
    <definedName name="OSRRefP25x_0" localSheetId="73">'405'!$P$79</definedName>
    <definedName name="OSRRefP25x_0" localSheetId="75">'411'!$P$69:$P$70</definedName>
    <definedName name="OSRRefP25x_0" localSheetId="79">'415'!$P$81</definedName>
    <definedName name="OSRRefP25x_0" localSheetId="80">'418'!$P$64</definedName>
    <definedName name="OSRRefP25x_0" localSheetId="82">'423'!$P$30</definedName>
    <definedName name="OSRRefP25x_0" localSheetId="85">'455'!$P$21:$P$22</definedName>
    <definedName name="OSRRefP25x_0" localSheetId="72">'491'!$P$98:$P$100</definedName>
    <definedName name="OSRRefP25x_0" localSheetId="93">'501'!$P$61</definedName>
    <definedName name="OSRRefP25x_0" localSheetId="47">'Div 3'!$P$222:$P$225</definedName>
    <definedName name="OSRRefP25x_0" localSheetId="70">'Div 4'!$P$106:$P$108</definedName>
    <definedName name="OSRRefP25x_0" localSheetId="92">'Div 5'!$P$61</definedName>
    <definedName name="OSRRefP25x_0" localSheetId="61">'Div 6'!$P$92:$P$94</definedName>
    <definedName name="OSRRefP25x_0" localSheetId="2">Summary!$P$253:$P$260</definedName>
    <definedName name="OSRRefT13x_0" localSheetId="48">'300'!$T$13:$T$77</definedName>
    <definedName name="OSRRefT13x_0" localSheetId="49">'300 &amp; 317'!$T$13:$T$91</definedName>
    <definedName name="OSRRefT13x_0" localSheetId="55">'307'!$T$13:$T$25</definedName>
    <definedName name="OSRRefT13x_0" localSheetId="51">'308'!$T$13:$T$36</definedName>
    <definedName name="OSRRefT13x_0" localSheetId="63">'310'!$T$13:$T$21</definedName>
    <definedName name="OSRRefT13x_0" localSheetId="71">'310 &amp; 491'!$T$13:$T$25</definedName>
    <definedName name="OSRRefT13x_0" localSheetId="52">'311'!$T$13:$T$36</definedName>
    <definedName name="OSRRefT13x_0" localSheetId="65">'313'!$T$13:$T$16</definedName>
    <definedName name="OSRRefT13x_0" localSheetId="57">'315'!$T$13:$T$54</definedName>
    <definedName name="OSRRefT13x_0" localSheetId="60">'316'!$T$13:$T$24</definedName>
    <definedName name="OSRRefT13x_0" localSheetId="62">'317'!$T$13:$T$33</definedName>
    <definedName name="OSRRefT13x_0" localSheetId="66">'321'!$T$13:$T$14</definedName>
    <definedName name="OSRRefT13x_0" localSheetId="53">'324'!$T$13:$T$16</definedName>
    <definedName name="OSRRefT13x_0" localSheetId="68">'325'!$T$13:$T$14</definedName>
    <definedName name="OSRRefT13x_0" localSheetId="58">'326'!$T$13:$T$36</definedName>
    <definedName name="OSRRefT13x_0" localSheetId="69">'327'!$T$13:$T$14</definedName>
    <definedName name="OSRRefT13x_0" localSheetId="56">'331'!$T$13:$T$54</definedName>
    <definedName name="OSRRefT13x_0" localSheetId="59">'332'!$T$13:$T$24</definedName>
    <definedName name="OSRRefT13x_0" localSheetId="54">'333'!$T$13:$T$56</definedName>
    <definedName name="OSRRefT13x_0" localSheetId="73">'405'!$T$13:$T$14</definedName>
    <definedName name="OSRRefT13x_0" localSheetId="78">'414'!$T$13</definedName>
    <definedName name="OSRRefT13x_0" localSheetId="79">'415'!$T$13:$T$14</definedName>
    <definedName name="OSRRefT13x_0" localSheetId="81">'420'!$T$13</definedName>
    <definedName name="OSRRefT13x_0" localSheetId="84">'425'!$T$13</definedName>
    <definedName name="OSRRefT13x_0" localSheetId="88">'433'!$T$13:$T$15</definedName>
    <definedName name="OSRRefT13x_0" localSheetId="90">'444'!$T$13:$T$15</definedName>
    <definedName name="OSRRefT13x_0" localSheetId="91">'450'!$T$13:$T$15</definedName>
    <definedName name="OSRRefT13x_0" localSheetId="72">'491'!$T$13:$T$17</definedName>
    <definedName name="OSRRefT13x_0" localSheetId="86">'492'!$T$13:$T$15</definedName>
    <definedName name="OSRRefT13x_0" localSheetId="93">'501'!$T$13</definedName>
    <definedName name="OSRRefT13x_0" localSheetId="47">'Div 3'!$T$13:$T$80</definedName>
    <definedName name="OSRRefT13x_0" localSheetId="70">'Div 4'!$T$13:$T$18</definedName>
    <definedName name="OSRRefT13x_0" localSheetId="92">'Div 5'!$T$13</definedName>
    <definedName name="OSRRefT13x_0" localSheetId="61">'Div 6'!$T$13:$T$33</definedName>
    <definedName name="OSRRefT13x_0" localSheetId="2">Summary!$T$13:$T$98</definedName>
    <definedName name="OSRRefT16x_0" localSheetId="48">'300'!$T$80:$T$119</definedName>
    <definedName name="OSRRefT16x_0" localSheetId="49">'300 &amp; 317'!$T$94:$T$142</definedName>
    <definedName name="OSRRefT16x_0" localSheetId="50">'301'!$T$15</definedName>
    <definedName name="OSRRefT16x_0" localSheetId="55">'307'!$T$28:$T$37</definedName>
    <definedName name="OSRRefT16x_0" localSheetId="51">'308'!$T$39:$T$55</definedName>
    <definedName name="OSRRefT16x_0" localSheetId="64">'309'!$T$15</definedName>
    <definedName name="OSRRefT16x_0" localSheetId="63">'310'!$T$24:$T$25</definedName>
    <definedName name="OSRRefT16x_0" localSheetId="71">'310 &amp; 491'!$T$28:$T$29</definedName>
    <definedName name="OSRRefT16x_0" localSheetId="52">'311'!$T$39:$T$55</definedName>
    <definedName name="OSRRefT16x_0" localSheetId="65">'313'!$T$19</definedName>
    <definedName name="OSRRefT16x_0" localSheetId="57">'315'!$T$57:$T$81</definedName>
    <definedName name="OSRRefT16x_0" localSheetId="60">'316'!$T$27</definedName>
    <definedName name="OSRRefT16x_0" localSheetId="62">'317'!$T$36:$T$48</definedName>
    <definedName name="OSRRefT16x_0" localSheetId="66">'321'!$T$17:$T$18</definedName>
    <definedName name="OSRRefT16x_0" localSheetId="67">'322'!$T$15</definedName>
    <definedName name="OSRRefT16x_0" localSheetId="53">'324'!$T$19:$T$21</definedName>
    <definedName name="OSRRefT16x_0" localSheetId="68">'325'!$T$17:$T$18</definedName>
    <definedName name="OSRRefT16x_0" localSheetId="58">'326'!$T$39:$T$45</definedName>
    <definedName name="OSRRefT16x_0" localSheetId="69">'327'!$T$17:$T$18</definedName>
    <definedName name="OSRRefT16x_0" localSheetId="56">'331'!$T$57:$T$81</definedName>
    <definedName name="OSRRefT16x_0" localSheetId="59">'332'!$T$27:$T$29</definedName>
    <definedName name="OSRRefT16x_0" localSheetId="54">'333'!$T$59:$T$83</definedName>
    <definedName name="OSRRefT16x_0" localSheetId="73">'405'!$T$17:$T$18</definedName>
    <definedName name="OSRRefT16x_0" localSheetId="79">'415'!$T$17:$T$18</definedName>
    <definedName name="OSRRefT16x_0" localSheetId="80">'418'!$T$15</definedName>
    <definedName name="OSRRefT16x_0" localSheetId="84">'425'!$T$16</definedName>
    <definedName name="OSRRefT16x_0" localSheetId="88">'433'!$T$18:$T$19</definedName>
    <definedName name="OSRRefT16x_0" localSheetId="90">'444'!$T$18:$T$19</definedName>
    <definedName name="OSRRefT16x_0" localSheetId="91">'450'!$T$18:$T$19</definedName>
    <definedName name="OSRRefT16x_0" localSheetId="72">'491'!$T$20:$T$21</definedName>
    <definedName name="OSRRefT16x_0" localSheetId="86">'492'!$T$18:$T$19</definedName>
    <definedName name="OSRRefT16x_0" localSheetId="47">'Div 3'!$T$83:$T$124</definedName>
    <definedName name="OSRRefT16x_0" localSheetId="70">'Div 4'!$T$21:$T$22</definedName>
    <definedName name="OSRRefT16x_0" localSheetId="61">'Div 6'!$T$36:$T$48</definedName>
    <definedName name="OSRRefT16x_0" localSheetId="2">Summary!$T$101:$T$151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'300'!$T$125:$T$134</definedName>
    <definedName name="OSRRefT22_0x_0" localSheetId="49">'300 &amp; 317'!$T$148:$T$157</definedName>
    <definedName name="OSRRefT22_0x_0" localSheetId="50">'301'!$T$21:$T$30</definedName>
    <definedName name="OSRRefT22_0x_0" localSheetId="55">'307'!$T$43:$T$45</definedName>
    <definedName name="OSRRefT22_0x_0" localSheetId="51">'308'!$T$61:$T$69</definedName>
    <definedName name="OSRRefT22_0x_0" localSheetId="64">'309'!$T$21</definedName>
    <definedName name="OSRRefT22_0x_0" localSheetId="63">'310'!$T$31:$T$39</definedName>
    <definedName name="OSRRefT22_0x_0" localSheetId="71">'310 &amp; 491'!$T$35:$T$43</definedName>
    <definedName name="OSRRefT22_0x_0" localSheetId="52">'311'!$T$61:$T$69</definedName>
    <definedName name="OSRRefT22_0x_0" localSheetId="65">'313'!$T$25:$T$32</definedName>
    <definedName name="OSRRefT22_0x_0" localSheetId="57">'315'!$T$87:$T$94</definedName>
    <definedName name="OSRRefT22_0x_0" localSheetId="60">'316'!$T$33:$T$40</definedName>
    <definedName name="OSRRefT22_0x_0" localSheetId="62">'317'!$T$54:$T$62</definedName>
    <definedName name="OSRRefT22_0x_0" localSheetId="66">'321'!$T$24:$T$32</definedName>
    <definedName name="OSRRefT22_0x_0" localSheetId="67">'322'!$T$21:$T$25</definedName>
    <definedName name="OSRRefT22_0x_0" localSheetId="68">'325'!$T$24:$T$31</definedName>
    <definedName name="OSRRefT22_0x_0" localSheetId="58">'326'!$T$51:$T$58</definedName>
    <definedName name="OSRRefT22_0x_0" localSheetId="69">'327'!$T$24</definedName>
    <definedName name="OSRRefT22_0x_0" localSheetId="56">'331'!$T$87:$T$94</definedName>
    <definedName name="OSRRefT22_0x_0" localSheetId="59">'332'!$T$35:$T$42</definedName>
    <definedName name="OSRRefT22_0x_0" localSheetId="54">'333'!$T$89:$T$96</definedName>
    <definedName name="OSRRefT22_0x_0" localSheetId="73">'405'!$T$24:$T$31</definedName>
    <definedName name="OSRRefT22_0x_0" localSheetId="74">'406'!$T$20</definedName>
    <definedName name="OSRRefT22_0x_0" localSheetId="75">'411'!$T$20:$T$27</definedName>
    <definedName name="OSRRefT22_0x_0" localSheetId="76">'412'!$T$20</definedName>
    <definedName name="OSRRefT22_0x_0" localSheetId="77">'413'!$T$20:$T$24</definedName>
    <definedName name="OSRRefT22_0x_0" localSheetId="78">'414'!$T$21</definedName>
    <definedName name="OSRRefT22_0x_0" localSheetId="79">'415'!$T$24:$T$31</definedName>
    <definedName name="OSRRefT22_0x_0" localSheetId="80">'418'!$T$21:$T$28</definedName>
    <definedName name="OSRRefT22_0x_0" localSheetId="81">'420'!$T$21</definedName>
    <definedName name="OSRRefT22_0x_0" localSheetId="82">'423'!$T$20:$T$21</definedName>
    <definedName name="OSRRefT22_0x_0" localSheetId="83">'424'!$T$20</definedName>
    <definedName name="OSRRefT22_0x_0" localSheetId="84">'425'!$T$22:$T$26</definedName>
    <definedName name="OSRRefT22_0x_0" localSheetId="87">'430'!$T$20:$T$27</definedName>
    <definedName name="OSRRefT22_0x_0" localSheetId="88">'433'!$T$25:$T$33</definedName>
    <definedName name="OSRRefT22_0x_0" localSheetId="89">'435'!$T$20</definedName>
    <definedName name="OSRRefT22_0x_0" localSheetId="90">'444'!$T$25:$T$33</definedName>
    <definedName name="OSRRefT22_0x_0" localSheetId="91">'450'!$T$25:$T$33</definedName>
    <definedName name="OSRRefT22_0x_0" localSheetId="72">'491'!$T$27:$T$34</definedName>
    <definedName name="OSRRefT22_0x_0" localSheetId="86">'492'!$T$25:$T$33</definedName>
    <definedName name="OSRRefT22_0x_0" localSheetId="93">'501'!$T$21:$T$29</definedName>
    <definedName name="OSRRefT22_0x_0" localSheetId="39">'Div 2'!$T$20:$T$30</definedName>
    <definedName name="OSRRefT22_0x_0" localSheetId="47">'Div 3'!$T$130:$T$139</definedName>
    <definedName name="OSRRefT22_0x_0" localSheetId="70">'Div 4'!$T$28:$T$36</definedName>
    <definedName name="OSRRefT22_0x_0" localSheetId="92">'Div 5'!$T$21:$T$29</definedName>
    <definedName name="OSRRefT22_0x_0" localSheetId="61">'Div 6'!$T$54:$T$62</definedName>
    <definedName name="OSRRefT22_0x_0" localSheetId="2">Summary!$T$157:$T$166</definedName>
    <definedName name="OSRRefT22_10x_0" localSheetId="41">'201'!$T$51:$T$52</definedName>
    <definedName name="OSRRefT22_10x_0" localSheetId="42">'202'!$T$53</definedName>
    <definedName name="OSRRefT22_10x_0" localSheetId="43">'203'!$T$55:$T$58</definedName>
    <definedName name="OSRRefT22_10x_0" localSheetId="48">'300'!$T$163:$T$164</definedName>
    <definedName name="OSRRefT22_10x_0" localSheetId="49">'300 &amp; 317'!$T$186:$T$187</definedName>
    <definedName name="OSRRefT22_10x_0" localSheetId="50">'301'!$T$59</definedName>
    <definedName name="OSRRefT22_10x_0" localSheetId="55">'307'!$T$71:$T$74</definedName>
    <definedName name="OSRRefT22_10x_0" localSheetId="51">'308'!$T$99:$T$100</definedName>
    <definedName name="OSRRefT22_10x_0" localSheetId="63">'310'!$T$63</definedName>
    <definedName name="OSRRefT22_10x_0" localSheetId="71">'310 &amp; 491'!$T$69</definedName>
    <definedName name="OSRRefT22_10x_0" localSheetId="52">'311'!$T$99:$T$100</definedName>
    <definedName name="OSRRefT22_10x_0" localSheetId="57">'315'!$T$122:$T$123</definedName>
    <definedName name="OSRRefT22_10x_0" localSheetId="60">'316'!$T$65:$T$69</definedName>
    <definedName name="OSRRefT22_10x_0" localSheetId="62">'317'!$T$89</definedName>
    <definedName name="OSRRefT22_10x_0" localSheetId="66">'321'!$T$61</definedName>
    <definedName name="OSRRefT22_10x_0" localSheetId="68">'325'!$T$54:$T$55</definedName>
    <definedName name="OSRRefT22_10x_0" localSheetId="58">'326'!$T$82</definedName>
    <definedName name="OSRRefT22_10x_0" localSheetId="56">'331'!$T$120</definedName>
    <definedName name="OSRRefT22_10x_0" localSheetId="59">'332'!$T$67:$T$71</definedName>
    <definedName name="OSRRefT22_10x_0" localSheetId="54">'333'!$T$122</definedName>
    <definedName name="OSRRefT22_10x_0" localSheetId="73">'405'!$T$55:$T$56</definedName>
    <definedName name="OSRRefT22_10x_0" localSheetId="75">'411'!$T$54:$T$56</definedName>
    <definedName name="OSRRefT22_10x_0" localSheetId="79">'415'!$T$55</definedName>
    <definedName name="OSRRefT22_10x_0" localSheetId="80">'418'!$T$53</definedName>
    <definedName name="OSRRefT22_10x_0" localSheetId="88">'433'!$T$57</definedName>
    <definedName name="OSRRefT22_10x_0" localSheetId="90">'444'!$T$57</definedName>
    <definedName name="OSRRefT22_10x_0" localSheetId="91">'450'!$T$57</definedName>
    <definedName name="OSRRefT22_10x_0" localSheetId="72">'491'!$T$59</definedName>
    <definedName name="OSRRefT22_10x_0" localSheetId="86">'492'!$T$58</definedName>
    <definedName name="OSRRefT22_10x_0" localSheetId="93">'501'!$T$58</definedName>
    <definedName name="OSRRefT22_10x_0" localSheetId="39">'Div 2'!$T$56</definedName>
    <definedName name="OSRRefT22_10x_0" localSheetId="47">'Div 3'!$T$168:$T$169</definedName>
    <definedName name="OSRRefT22_10x_0" localSheetId="70">'Div 4'!$T$62</definedName>
    <definedName name="OSRRefT22_10x_0" localSheetId="92">'Div 5'!$T$58</definedName>
    <definedName name="OSRRefT22_10x_0" localSheetId="61">'Div 6'!$T$89</definedName>
    <definedName name="OSRRefT22_10x_0" localSheetId="2">Summary!$T$195:$T$196</definedName>
    <definedName name="OSRRefT22_11x_0" localSheetId="41">'201'!$T$54</definedName>
    <definedName name="OSRRefT22_11x_0" localSheetId="42">'202'!$T$55</definedName>
    <definedName name="OSRRefT22_11x_0" localSheetId="43">'203'!$T$60</definedName>
    <definedName name="OSRRefT22_11x_0" localSheetId="48">'300'!$T$166</definedName>
    <definedName name="OSRRefT22_11x_0" localSheetId="49">'300 &amp; 317'!$T$189</definedName>
    <definedName name="OSRRefT22_11x_0" localSheetId="50">'301'!$T$61</definedName>
    <definedName name="OSRRefT22_11x_0" localSheetId="55">'307'!$T$76</definedName>
    <definedName name="OSRRefT22_11x_0" localSheetId="51">'308'!$T$102:$T$103</definedName>
    <definedName name="OSRRefT22_11x_0" localSheetId="63">'310'!$T$65:$T$66</definedName>
    <definedName name="OSRRefT22_11x_0" localSheetId="71">'310 &amp; 491'!$T$71</definedName>
    <definedName name="OSRRefT22_11x_0" localSheetId="52">'311'!$T$102:$T$103</definedName>
    <definedName name="OSRRefT22_11x_0" localSheetId="57">'315'!$T$125:$T$126</definedName>
    <definedName name="OSRRefT22_11x_0" localSheetId="60">'316'!$T$71</definedName>
    <definedName name="OSRRefT22_11x_0" localSheetId="66">'321'!$T$63</definedName>
    <definedName name="OSRRefT22_11x_0" localSheetId="68">'325'!$T$57:$T$60</definedName>
    <definedName name="OSRRefT22_11x_0" localSheetId="58">'326'!$T$84:$T$86</definedName>
    <definedName name="OSRRefT22_11x_0" localSheetId="56">'331'!$T$122:$T$123</definedName>
    <definedName name="OSRRefT22_11x_0" localSheetId="59">'332'!$T$73</definedName>
    <definedName name="OSRRefT22_11x_0" localSheetId="54">'333'!$T$124:$T$125</definedName>
    <definedName name="OSRRefT22_11x_0" localSheetId="73">'405'!$T$58:$T$61</definedName>
    <definedName name="OSRRefT22_11x_0" localSheetId="75">'411'!$T$58:$T$59</definedName>
    <definedName name="OSRRefT22_11x_0" localSheetId="79">'415'!$T$57:$T$58</definedName>
    <definedName name="OSRRefT22_11x_0" localSheetId="80">'418'!$T$55:$T$59</definedName>
    <definedName name="OSRRefT22_11x_0" localSheetId="88">'433'!$T$59:$T$60</definedName>
    <definedName name="OSRRefT22_11x_0" localSheetId="90">'444'!$T$59:$T$60</definedName>
    <definedName name="OSRRefT22_11x_0" localSheetId="91">'450'!$T$59</definedName>
    <definedName name="OSRRefT22_11x_0" localSheetId="72">'491'!$T$61</definedName>
    <definedName name="OSRRefT22_11x_0" localSheetId="86">'492'!$T$60</definedName>
    <definedName name="OSRRefT22_11x_0" localSheetId="39">'Div 2'!$T$58</definedName>
    <definedName name="OSRRefT22_11x_0" localSheetId="47">'Div 3'!$T$171</definedName>
    <definedName name="OSRRefT22_11x_0" localSheetId="70">'Div 4'!$T$64</definedName>
    <definedName name="OSRRefT22_11x_0" localSheetId="2">Summary!$T$198</definedName>
    <definedName name="OSRRefT22_12x_0" localSheetId="41">'201'!$T$56:$T$57</definedName>
    <definedName name="OSRRefT22_12x_0" localSheetId="42">'202'!$T$57</definedName>
    <definedName name="OSRRefT22_12x_0" localSheetId="43">'203'!$T$62</definedName>
    <definedName name="OSRRefT22_12x_0" localSheetId="48">'300'!$T$168</definedName>
    <definedName name="OSRRefT22_12x_0" localSheetId="49">'300 &amp; 317'!$T$191</definedName>
    <definedName name="OSRRefT22_12x_0" localSheetId="50">'301'!$T$63</definedName>
    <definedName name="OSRRefT22_12x_0" localSheetId="55">'307'!$T$78</definedName>
    <definedName name="OSRRefT22_12x_0" localSheetId="51">'308'!$T$105:$T$106</definedName>
    <definedName name="OSRRefT22_12x_0" localSheetId="63">'310'!$T$68</definedName>
    <definedName name="OSRRefT22_12x_0" localSheetId="71">'310 &amp; 491'!$T$73</definedName>
    <definedName name="OSRRefT22_12x_0" localSheetId="52">'311'!$T$105:$T$106</definedName>
    <definedName name="OSRRefT22_12x_0" localSheetId="57">'315'!$T$128:$T$132</definedName>
    <definedName name="OSRRefT22_12x_0" localSheetId="60">'316'!$T$73</definedName>
    <definedName name="OSRRefT22_12x_0" localSheetId="68">'325'!$T$62:$T$66</definedName>
    <definedName name="OSRRefT22_12x_0" localSheetId="58">'326'!$T$88:$T$90</definedName>
    <definedName name="OSRRefT22_12x_0" localSheetId="56">'331'!$T$125</definedName>
    <definedName name="OSRRefT22_12x_0" localSheetId="59">'332'!$T$75</definedName>
    <definedName name="OSRRefT22_12x_0" localSheetId="54">'333'!$T$127</definedName>
    <definedName name="OSRRefT22_12x_0" localSheetId="73">'405'!$T$63</definedName>
    <definedName name="OSRRefT22_12x_0" localSheetId="75">'411'!$T$61</definedName>
    <definedName name="OSRRefT22_12x_0" localSheetId="79">'415'!$T$60:$T$63</definedName>
    <definedName name="OSRRefT22_12x_0" localSheetId="80">'418'!$T$61</definedName>
    <definedName name="OSRRefT22_12x_0" localSheetId="88">'433'!$T$62:$T$64</definedName>
    <definedName name="OSRRefT22_12x_0" localSheetId="90">'444'!$T$62:$T$65</definedName>
    <definedName name="OSRRefT22_12x_0" localSheetId="91">'450'!$T$61:$T$62</definedName>
    <definedName name="OSRRefT22_12x_0" localSheetId="72">'491'!$T$63</definedName>
    <definedName name="OSRRefT22_12x_0" localSheetId="86">'492'!$T$62:$T$64</definedName>
    <definedName name="OSRRefT22_12x_0" localSheetId="39">'Div 2'!$T$60:$T$62</definedName>
    <definedName name="OSRRefT22_12x_0" localSheetId="47">'Div 3'!$T$173</definedName>
    <definedName name="OSRRefT22_12x_0" localSheetId="70">'Div 4'!$T$66</definedName>
    <definedName name="OSRRefT22_12x_0" localSheetId="2">Summary!$T$200</definedName>
    <definedName name="OSRRefT22_13x_0" localSheetId="41">'201'!$T$59</definedName>
    <definedName name="OSRRefT22_13x_0" localSheetId="43">'203'!$T$64</definedName>
    <definedName name="OSRRefT22_13x_0" localSheetId="48">'300'!$T$170:$T$171</definedName>
    <definedName name="OSRRefT22_13x_0" localSheetId="49">'300 &amp; 317'!$T$193:$T$194</definedName>
    <definedName name="OSRRefT22_13x_0" localSheetId="50">'301'!$T$65</definedName>
    <definedName name="OSRRefT22_13x_0" localSheetId="51">'308'!$T$108</definedName>
    <definedName name="OSRRefT22_13x_0" localSheetId="63">'310'!$T$70:$T$73</definedName>
    <definedName name="OSRRefT22_13x_0" localSheetId="71">'310 &amp; 491'!$T$75:$T$77</definedName>
    <definedName name="OSRRefT22_13x_0" localSheetId="52">'311'!$T$108</definedName>
    <definedName name="OSRRefT22_13x_0" localSheetId="57">'315'!$T$134</definedName>
    <definedName name="OSRRefT22_13x_0" localSheetId="68">'325'!$T$68</definedName>
    <definedName name="OSRRefT22_13x_0" localSheetId="58">'326'!$T$92:$T$93</definedName>
    <definedName name="OSRRefT22_13x_0" localSheetId="56">'331'!$T$127</definedName>
    <definedName name="OSRRefT22_13x_0" localSheetId="54">'333'!$T$129</definedName>
    <definedName name="OSRRefT22_13x_0" localSheetId="73">'405'!$T$65:$T$72</definedName>
    <definedName name="OSRRefT22_13x_0" localSheetId="75">'411'!$T$63:$T$64</definedName>
    <definedName name="OSRRefT22_13x_0" localSheetId="79">'415'!$T$65</definedName>
    <definedName name="OSRRefT22_13x_0" localSheetId="88">'433'!$T$66:$T$73</definedName>
    <definedName name="OSRRefT22_13x_0" localSheetId="90">'444'!$T$67</definedName>
    <definedName name="OSRRefT22_13x_0" localSheetId="91">'450'!$T$64:$T$66</definedName>
    <definedName name="OSRRefT22_13x_0" localSheetId="72">'491'!$T$65:$T$67</definedName>
    <definedName name="OSRRefT22_13x_0" localSheetId="86">'492'!$T$66:$T$69</definedName>
    <definedName name="OSRRefT22_13x_0" localSheetId="39">'Div 2'!$T$64:$T$67</definedName>
    <definedName name="OSRRefT22_13x_0" localSheetId="47">'Div 3'!$T$175</definedName>
    <definedName name="OSRRefT22_13x_0" localSheetId="70">'Div 4'!$T$68</definedName>
    <definedName name="OSRRefT22_13x_0" localSheetId="2">Summary!$T$202</definedName>
    <definedName name="OSRRefT22_14x_0" localSheetId="41">'201'!$T$61</definedName>
    <definedName name="OSRRefT22_14x_0" localSheetId="48">'300'!$T$173</definedName>
    <definedName name="OSRRefT22_14x_0" localSheetId="49">'300 &amp; 317'!$T$196</definedName>
    <definedName name="OSRRefT22_14x_0" localSheetId="50">'301'!$T$67</definedName>
    <definedName name="OSRRefT22_14x_0" localSheetId="63">'310'!$T$75:$T$80</definedName>
    <definedName name="OSRRefT22_14x_0" localSheetId="71">'310 &amp; 491'!$T$79</definedName>
    <definedName name="OSRRefT22_14x_0" localSheetId="57">'315'!$T$136</definedName>
    <definedName name="OSRRefT22_14x_0" localSheetId="68">'325'!$T$70</definedName>
    <definedName name="OSRRefT22_14x_0" localSheetId="58">'326'!$T$95:$T$98</definedName>
    <definedName name="OSRRefT22_14x_0" localSheetId="56">'331'!$T$129:$T$131</definedName>
    <definedName name="OSRRefT22_14x_0" localSheetId="54">'333'!$T$131:$T$133</definedName>
    <definedName name="OSRRefT22_14x_0" localSheetId="73">'405'!$T$74</definedName>
    <definedName name="OSRRefT22_14x_0" localSheetId="75">'411'!$T$66</definedName>
    <definedName name="OSRRefT22_14x_0" localSheetId="79">'415'!$T$67:$T$72</definedName>
    <definedName name="OSRRefT22_14x_0" localSheetId="88">'433'!$T$75</definedName>
    <definedName name="OSRRefT22_14x_0" localSheetId="90">'444'!$T$69:$T$76</definedName>
    <definedName name="OSRRefT22_14x_0" localSheetId="91">'450'!$T$68:$T$73</definedName>
    <definedName name="OSRRefT22_14x_0" localSheetId="72">'491'!$T$69</definedName>
    <definedName name="OSRRefT22_14x_0" localSheetId="86">'492'!$T$71</definedName>
    <definedName name="OSRRefT22_14x_0" localSheetId="39">'Div 2'!$T$69</definedName>
    <definedName name="OSRRefT22_14x_0" localSheetId="47">'Div 3'!$T$177:$T$178</definedName>
    <definedName name="OSRRefT22_14x_0" localSheetId="70">'Div 4'!$T$70</definedName>
    <definedName name="OSRRefT22_14x_0" localSheetId="2">Summary!$T$204:$T$205</definedName>
    <definedName name="OSRRefT22_15x_0" localSheetId="48">'300'!$T$175</definedName>
    <definedName name="OSRRefT22_15x_0" localSheetId="49">'300 &amp; 317'!$T$198</definedName>
    <definedName name="OSRRefT22_15x_0" localSheetId="50">'301'!$T$69:$T$72</definedName>
    <definedName name="OSRRefT22_15x_0" localSheetId="63">'310'!$T$82</definedName>
    <definedName name="OSRRefT22_15x_0" localSheetId="71">'310 &amp; 491'!$T$81:$T$84</definedName>
    <definedName name="OSRRefT22_15x_0" localSheetId="58">'326'!$T$100</definedName>
    <definedName name="OSRRefT22_15x_0" localSheetId="56">'331'!$T$133:$T$134</definedName>
    <definedName name="OSRRefT22_15x_0" localSheetId="54">'333'!$T$135:$T$136</definedName>
    <definedName name="OSRRefT22_15x_0" localSheetId="73">'405'!$T$76</definedName>
    <definedName name="OSRRefT22_15x_0" localSheetId="79">'415'!$T$74</definedName>
    <definedName name="OSRRefT22_15x_0" localSheetId="90">'444'!$T$78</definedName>
    <definedName name="OSRRefT22_15x_0" localSheetId="91">'450'!$T$75</definedName>
    <definedName name="OSRRefT22_15x_0" localSheetId="72">'491'!$T$71:$T$74</definedName>
    <definedName name="OSRRefT22_15x_0" localSheetId="86">'492'!$T$73:$T$80</definedName>
    <definedName name="OSRRefT22_15x_0" localSheetId="39">'Div 2'!$T$71</definedName>
    <definedName name="OSRRefT22_15x_0" localSheetId="47">'Div 3'!$T$180</definedName>
    <definedName name="OSRRefT22_15x_0" localSheetId="70">'Div 4'!$T$72:$T$74</definedName>
    <definedName name="OSRRefT22_15x_0" localSheetId="2">Summary!$T$207</definedName>
    <definedName name="OSRRefT22_16x_0" localSheetId="48">'300'!$T$177:$T$180</definedName>
    <definedName name="OSRRefT22_16x_0" localSheetId="49">'300 &amp; 317'!$T$200:$T$203</definedName>
    <definedName name="OSRRefT22_16x_0" localSheetId="50">'301'!$T$74:$T$76</definedName>
    <definedName name="OSRRefT22_16x_0" localSheetId="63">'310'!$T$84</definedName>
    <definedName name="OSRRefT22_16x_0" localSheetId="71">'310 &amp; 491'!$T$86</definedName>
    <definedName name="OSRRefT22_16x_0" localSheetId="58">'326'!$T$102</definedName>
    <definedName name="OSRRefT22_16x_0" localSheetId="56">'331'!$T$136:$T$138</definedName>
    <definedName name="OSRRefT22_16x_0" localSheetId="54">'333'!$T$138:$T$141</definedName>
    <definedName name="OSRRefT22_16x_0" localSheetId="79">'415'!$T$76</definedName>
    <definedName name="OSRRefT22_16x_0" localSheetId="90">'444'!$T$80</definedName>
    <definedName name="OSRRefT22_16x_0" localSheetId="91">'450'!$T$77</definedName>
    <definedName name="OSRRefT22_16x_0" localSheetId="72">'491'!$T$76</definedName>
    <definedName name="OSRRefT22_16x_0" localSheetId="86">'492'!$T$82</definedName>
    <definedName name="OSRRefT22_16x_0" localSheetId="39">'Div 2'!$T$73:$T$77</definedName>
    <definedName name="OSRRefT22_16x_0" localSheetId="47">'Div 3'!$T$182</definedName>
    <definedName name="OSRRefT22_16x_0" localSheetId="70">'Div 4'!$T$76</definedName>
    <definedName name="OSRRefT22_16x_0" localSheetId="2">Summary!$T$209</definedName>
    <definedName name="OSRRefT22_17x_0" localSheetId="48">'300'!$T$182:$T$184</definedName>
    <definedName name="OSRRefT22_17x_0" localSheetId="49">'300 &amp; 317'!$T$205:$T$207</definedName>
    <definedName name="OSRRefT22_17x_0" localSheetId="50">'301'!$T$78</definedName>
    <definedName name="OSRRefT22_17x_0" localSheetId="71">'310 &amp; 491'!$T$88:$T$96</definedName>
    <definedName name="OSRRefT22_17x_0" localSheetId="58">'326'!$T$104</definedName>
    <definedName name="OSRRefT22_17x_0" localSheetId="56">'331'!$T$140:$T$141</definedName>
    <definedName name="OSRRefT22_17x_0" localSheetId="54">'333'!$T$143:$T$144</definedName>
    <definedName name="OSRRefT22_17x_0" localSheetId="79">'415'!$T$78</definedName>
    <definedName name="OSRRefT22_17x_0" localSheetId="72">'491'!$T$78:$T$86</definedName>
    <definedName name="OSRRefT22_17x_0" localSheetId="86">'492'!$T$84</definedName>
    <definedName name="OSRRefT22_17x_0" localSheetId="39">'Div 2'!$T$79:$T$80</definedName>
    <definedName name="OSRRefT22_17x_0" localSheetId="47">'Div 3'!$T$184:$T$187</definedName>
    <definedName name="OSRRefT22_17x_0" localSheetId="70">'Div 4'!$T$78:$T$81</definedName>
    <definedName name="OSRRefT22_17x_0" localSheetId="2">Summary!$T$211</definedName>
    <definedName name="OSRRefT22_18x_0" localSheetId="48">'300'!$T$186:$T$189</definedName>
    <definedName name="OSRRefT22_18x_0" localSheetId="49">'300 &amp; 317'!$T$209:$T$212</definedName>
    <definedName name="OSRRefT22_18x_0" localSheetId="50">'301'!$T$80:$T$85</definedName>
    <definedName name="OSRRefT22_18x_0" localSheetId="71">'310 &amp; 491'!$T$98</definedName>
    <definedName name="OSRRefT22_18x_0" localSheetId="56">'331'!$T$143:$T$148</definedName>
    <definedName name="OSRRefT22_18x_0" localSheetId="54">'333'!$T$146:$T$151</definedName>
    <definedName name="OSRRefT22_18x_0" localSheetId="72">'491'!$T$88</definedName>
    <definedName name="OSRRefT22_18x_0" localSheetId="86">'492'!$T$86:$T$87</definedName>
    <definedName name="OSRRefT22_18x_0" localSheetId="39">'Div 2'!$T$82</definedName>
    <definedName name="OSRRefT22_18x_0" localSheetId="47">'Div 3'!$T$189:$T$191</definedName>
    <definedName name="OSRRefT22_18x_0" localSheetId="70">'Div 4'!$T$83:$T$84</definedName>
    <definedName name="OSRRefT22_18x_0" localSheetId="2">Summary!$T$213:$T$216</definedName>
    <definedName name="OSRRefT22_19x_0" localSheetId="48">'300'!$T$191:$T$192</definedName>
    <definedName name="OSRRefT22_19x_0" localSheetId="49">'300 &amp; 317'!$T$214:$T$215</definedName>
    <definedName name="OSRRefT22_19x_0" localSheetId="50">'301'!$T$87</definedName>
    <definedName name="OSRRefT22_19x_0" localSheetId="71">'310 &amp; 491'!$T$100</definedName>
    <definedName name="OSRRefT22_19x_0" localSheetId="56">'331'!$T$150</definedName>
    <definedName name="OSRRefT22_19x_0" localSheetId="54">'333'!$T$153</definedName>
    <definedName name="OSRRefT22_19x_0" localSheetId="72">'491'!$T$90</definedName>
    <definedName name="OSRRefT22_19x_0" localSheetId="39">'Div 2'!$T$84:$T$85</definedName>
    <definedName name="OSRRefT22_19x_0" localSheetId="47">'Div 3'!$T$193:$T$197</definedName>
    <definedName name="OSRRefT22_19x_0" localSheetId="70">'Div 4'!$T$86:$T$94</definedName>
    <definedName name="OSRRefT22_19x_0" localSheetId="2">Summary!$T$218:$T$220</definedName>
    <definedName name="OSRRefT22_1x_0" localSheetId="40">'200'!$T$22</definedName>
    <definedName name="OSRRefT22_1x_0" localSheetId="41">'201'!$T$29:$T$31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'206'!$T$29:$T$31</definedName>
    <definedName name="OSRRefT22_1x_0" localSheetId="48">'300'!$T$136:$T$142</definedName>
    <definedName name="OSRRefT22_1x_0" localSheetId="49">'300 &amp; 317'!$T$159:$T$165</definedName>
    <definedName name="OSRRefT22_1x_0" localSheetId="50">'301'!$T$32:$T$38</definedName>
    <definedName name="OSRRefT22_1x_0" localSheetId="55">'307'!$T$47:$T$50</definedName>
    <definedName name="OSRRefT22_1x_0" localSheetId="51">'308'!$T$71:$T$77</definedName>
    <definedName name="OSRRefT22_1x_0" localSheetId="64">'309'!$T$23</definedName>
    <definedName name="OSRRefT22_1x_0" localSheetId="63">'310'!$T$41:$T$44</definedName>
    <definedName name="OSRRefT22_1x_0" localSheetId="71">'310 &amp; 491'!$T$45:$T$49</definedName>
    <definedName name="OSRRefT22_1x_0" localSheetId="52">'311'!$T$71:$T$77</definedName>
    <definedName name="OSRRefT22_1x_0" localSheetId="65">'313'!$T$34</definedName>
    <definedName name="OSRRefT22_1x_0" localSheetId="57">'315'!$T$96:$T$100</definedName>
    <definedName name="OSRRefT22_1x_0" localSheetId="60">'316'!$T$42:$T$44</definedName>
    <definedName name="OSRRefT22_1x_0" localSheetId="62">'317'!$T$64:$T$68</definedName>
    <definedName name="OSRRefT22_1x_0" localSheetId="66">'321'!$T$34:$T$37</definedName>
    <definedName name="OSRRefT22_1x_0" localSheetId="67">'322'!$T$27</definedName>
    <definedName name="OSRRefT22_1x_0" localSheetId="68">'325'!$T$33:$T$35</definedName>
    <definedName name="OSRRefT22_1x_0" localSheetId="58">'326'!$T$60:$T$64</definedName>
    <definedName name="OSRRefT22_1x_0" localSheetId="69">'327'!$T$26</definedName>
    <definedName name="OSRRefT22_1x_0" localSheetId="56">'331'!$T$96:$T$100</definedName>
    <definedName name="OSRRefT22_1x_0" localSheetId="59">'332'!$T$44:$T$46</definedName>
    <definedName name="OSRRefT22_1x_0" localSheetId="54">'333'!$T$98:$T$102</definedName>
    <definedName name="OSRRefT22_1x_0" localSheetId="73">'405'!$T$33:$T$36</definedName>
    <definedName name="OSRRefT22_1x_0" localSheetId="74">'406'!$T$22</definedName>
    <definedName name="OSRRefT22_1x_0" localSheetId="75">'411'!$T$29:$T$33</definedName>
    <definedName name="OSRRefT22_1x_0" localSheetId="76">'412'!$T$22</definedName>
    <definedName name="OSRRefT22_1x_0" localSheetId="77">'413'!$T$26</definedName>
    <definedName name="OSRRefT22_1x_0" localSheetId="78">'414'!$T$23</definedName>
    <definedName name="OSRRefT22_1x_0" localSheetId="79">'415'!$T$33:$T$36</definedName>
    <definedName name="OSRRefT22_1x_0" localSheetId="80">'418'!$T$30:$T$33</definedName>
    <definedName name="OSRRefT22_1x_0" localSheetId="82">'423'!$T$23</definedName>
    <definedName name="OSRRefT22_1x_0" localSheetId="83">'424'!$T$22</definedName>
    <definedName name="OSRRefT22_1x_0" localSheetId="84">'425'!$T$28</definedName>
    <definedName name="OSRRefT22_1x_0" localSheetId="87">'430'!$T$29</definedName>
    <definedName name="OSRRefT22_1x_0" localSheetId="88">'433'!$T$35:$T$39</definedName>
    <definedName name="OSRRefT22_1x_0" localSheetId="89">'435'!$T$22</definedName>
    <definedName name="OSRRefT22_1x_0" localSheetId="90">'444'!$T$35:$T$39</definedName>
    <definedName name="OSRRefT22_1x_0" localSheetId="91">'450'!$T$35:$T$39</definedName>
    <definedName name="OSRRefT22_1x_0" localSheetId="72">'491'!$T$36:$T$40</definedName>
    <definedName name="OSRRefT22_1x_0" localSheetId="86">'492'!$T$35:$T$40</definedName>
    <definedName name="OSRRefT22_1x_0" localSheetId="93">'501'!$T$31:$T$36</definedName>
    <definedName name="OSRRefT22_1x_0" localSheetId="39">'Div 2'!$T$32:$T$37</definedName>
    <definedName name="OSRRefT22_1x_0" localSheetId="47">'Div 3'!$T$141:$T$147</definedName>
    <definedName name="OSRRefT22_1x_0" localSheetId="70">'Div 4'!$T$38:$T$43</definedName>
    <definedName name="OSRRefT22_1x_0" localSheetId="92">'Div 5'!$T$31:$T$36</definedName>
    <definedName name="OSRRefT22_1x_0" localSheetId="61">'Div 6'!$T$64:$T$68</definedName>
    <definedName name="OSRRefT22_1x_0" localSheetId="2">Summary!$T$168:$T$174</definedName>
    <definedName name="OSRRefT22_20x_0" localSheetId="48">'300'!$T$194:$T$200</definedName>
    <definedName name="OSRRefT22_20x_0" localSheetId="49">'300 &amp; 317'!$T$217:$T$223</definedName>
    <definedName name="OSRRefT22_20x_0" localSheetId="50">'301'!$T$89</definedName>
    <definedName name="OSRRefT22_20x_0" localSheetId="71">'310 &amp; 491'!$T$102:$T$103</definedName>
    <definedName name="OSRRefT22_20x_0" localSheetId="56">'331'!$T$152</definedName>
    <definedName name="OSRRefT22_20x_0" localSheetId="54">'333'!$T$155</definedName>
    <definedName name="OSRRefT22_20x_0" localSheetId="72">'491'!$T$92:$T$93</definedName>
    <definedName name="OSRRefT22_20x_0" localSheetId="47">'Div 3'!$T$199:$T$200</definedName>
    <definedName name="OSRRefT22_20x_0" localSheetId="70">'Div 4'!$T$96</definedName>
    <definedName name="OSRRefT22_20x_0" localSheetId="2">Summary!$T$222:$T$226</definedName>
    <definedName name="OSRRefT22_21x_0" localSheetId="48">'300'!$T$202:$T$203</definedName>
    <definedName name="OSRRefT22_21x_0" localSheetId="49">'300 &amp; 317'!$T$225:$T$226</definedName>
    <definedName name="OSRRefT22_21x_0" localSheetId="50">'301'!$T$91:$T$92</definedName>
    <definedName name="OSRRefT22_21x_0" localSheetId="71">'310 &amp; 491'!$T$105</definedName>
    <definedName name="OSRRefT22_21x_0" localSheetId="56">'331'!$T$154</definedName>
    <definedName name="OSRRefT22_21x_0" localSheetId="54">'333'!$T$157</definedName>
    <definedName name="OSRRefT22_21x_0" localSheetId="72">'491'!$T$95</definedName>
    <definedName name="OSRRefT22_21x_0" localSheetId="47">'Div 3'!$T$202:$T$208</definedName>
    <definedName name="OSRRefT22_21x_0" localSheetId="70">'Div 4'!$T$98</definedName>
    <definedName name="OSRRefT22_21x_0" localSheetId="2">Summary!$T$228:$T$229</definedName>
    <definedName name="OSRRefT22_22x_0" localSheetId="48">'300'!$T$205</definedName>
    <definedName name="OSRRefT22_22x_0" localSheetId="49">'300 &amp; 317'!$T$228</definedName>
    <definedName name="OSRRefT22_22x_0" localSheetId="50">'301'!$T$94</definedName>
    <definedName name="OSRRefT22_22x_0" localSheetId="54">'333'!$T$159</definedName>
    <definedName name="OSRRefT22_22x_0" localSheetId="47">'Div 3'!$T$210:$T$211</definedName>
    <definedName name="OSRRefT22_22x_0" localSheetId="70">'Div 4'!$T$100:$T$101</definedName>
    <definedName name="OSRRefT22_22x_0" localSheetId="2">Summary!$T$231:$T$239</definedName>
    <definedName name="OSRRefT22_23x_0" localSheetId="48">'300'!$T$207:$T$209</definedName>
    <definedName name="OSRRefT22_23x_0" localSheetId="49">'300 &amp; 317'!$T$230:$T$232</definedName>
    <definedName name="OSRRefT22_23x_0" localSheetId="47">'Div 3'!$T$213</definedName>
    <definedName name="OSRRefT22_23x_0" localSheetId="70">'Div 4'!$T$103</definedName>
    <definedName name="OSRRefT22_23x_0" localSheetId="2">Summary!$T$241:$T$242</definedName>
    <definedName name="OSRRefT22_24x_0" localSheetId="48">'300'!$T$211</definedName>
    <definedName name="OSRRefT22_24x_0" localSheetId="49">'300 &amp; 317'!$T$234</definedName>
    <definedName name="OSRRefT22_24x_0" localSheetId="47">'Div 3'!$T$215:$T$217</definedName>
    <definedName name="OSRRefT22_24x_0" localSheetId="2">Summary!$T$244</definedName>
    <definedName name="OSRRefT22_25x_0" localSheetId="47">'Div 3'!$T$219</definedName>
    <definedName name="OSRRefT22_25x_0" localSheetId="2">Summary!$T$246:$T$248</definedName>
    <definedName name="OSRRefT22_26x_0" localSheetId="2">Summary!$T$250</definedName>
    <definedName name="OSRRefT22_2x_0" localSheetId="40">'200'!$T$24</definedName>
    <definedName name="OSRRefT22_2x_0" localSheetId="41">'201'!$T$33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'206'!$T$33</definedName>
    <definedName name="OSRRefT22_2x_0" localSheetId="48">'300'!$T$144</definedName>
    <definedName name="OSRRefT22_2x_0" localSheetId="49">'300 &amp; 317'!$T$167</definedName>
    <definedName name="OSRRefT22_2x_0" localSheetId="50">'301'!$T$40</definedName>
    <definedName name="OSRRefT22_2x_0" localSheetId="55">'307'!$T$52</definedName>
    <definedName name="OSRRefT22_2x_0" localSheetId="51">'308'!$T$79</definedName>
    <definedName name="OSRRefT22_2x_0" localSheetId="64">'309'!$T$25</definedName>
    <definedName name="OSRRefT22_2x_0" localSheetId="63">'310'!$T$46</definedName>
    <definedName name="OSRRefT22_2x_0" localSheetId="71">'310 &amp; 491'!$T$51</definedName>
    <definedName name="OSRRefT22_2x_0" localSheetId="52">'311'!$T$79</definedName>
    <definedName name="OSRRefT22_2x_0" localSheetId="65">'313'!$T$36</definedName>
    <definedName name="OSRRefT22_2x_0" localSheetId="57">'315'!$T$102</definedName>
    <definedName name="OSRRefT22_2x_0" localSheetId="60">'316'!$T$46</definedName>
    <definedName name="OSRRefT22_2x_0" localSheetId="62">'317'!$T$70</definedName>
    <definedName name="OSRRefT22_2x_0" localSheetId="66">'321'!$T$39</definedName>
    <definedName name="OSRRefT22_2x_0" localSheetId="67">'322'!$T$29</definedName>
    <definedName name="OSRRefT22_2x_0" localSheetId="68">'325'!$T$37</definedName>
    <definedName name="OSRRefT22_2x_0" localSheetId="58">'326'!$T$66</definedName>
    <definedName name="OSRRefT22_2x_0" localSheetId="56">'331'!$T$102</definedName>
    <definedName name="OSRRefT22_2x_0" localSheetId="59">'332'!$T$48</definedName>
    <definedName name="OSRRefT22_2x_0" localSheetId="54">'333'!$T$104</definedName>
    <definedName name="OSRRefT22_2x_0" localSheetId="73">'405'!$T$38</definedName>
    <definedName name="OSRRefT22_2x_0" localSheetId="74">'406'!$T$24</definedName>
    <definedName name="OSRRefT22_2x_0" localSheetId="75">'411'!$T$35</definedName>
    <definedName name="OSRRefT22_2x_0" localSheetId="76">'412'!$T$24:$T$25</definedName>
    <definedName name="OSRRefT22_2x_0" localSheetId="77">'413'!$T$28</definedName>
    <definedName name="OSRRefT22_2x_0" localSheetId="78">'414'!$T$25</definedName>
    <definedName name="OSRRefT22_2x_0" localSheetId="79">'415'!$T$38</definedName>
    <definedName name="OSRRefT22_2x_0" localSheetId="80">'418'!$T$35</definedName>
    <definedName name="OSRRefT22_2x_0" localSheetId="82">'423'!$T$25</definedName>
    <definedName name="OSRRefT22_2x_0" localSheetId="83">'424'!$T$24</definedName>
    <definedName name="OSRRefT22_2x_0" localSheetId="84">'425'!$T$30</definedName>
    <definedName name="OSRRefT22_2x_0" localSheetId="87">'430'!$T$31</definedName>
    <definedName name="OSRRefT22_2x_0" localSheetId="88">'433'!$T$41</definedName>
    <definedName name="OSRRefT22_2x_0" localSheetId="90">'444'!$T$41</definedName>
    <definedName name="OSRRefT22_2x_0" localSheetId="91">'450'!$T$41</definedName>
    <definedName name="OSRRefT22_2x_0" localSheetId="72">'491'!$T$42</definedName>
    <definedName name="OSRRefT22_2x_0" localSheetId="86">'492'!$T$42</definedName>
    <definedName name="OSRRefT22_2x_0" localSheetId="93">'501'!$T$38</definedName>
    <definedName name="OSRRefT22_2x_0" localSheetId="39">'Div 2'!$T$39</definedName>
    <definedName name="OSRRefT22_2x_0" localSheetId="47">'Div 3'!$T$149</definedName>
    <definedName name="OSRRefT22_2x_0" localSheetId="70">'Div 4'!$T$45</definedName>
    <definedName name="OSRRefT22_2x_0" localSheetId="92">'Div 5'!$T$38</definedName>
    <definedName name="OSRRefT22_2x_0" localSheetId="61">'Div 6'!$T$70</definedName>
    <definedName name="OSRRefT22_2x_0" localSheetId="2">Summary!$T$176</definedName>
    <definedName name="OSRRefT22_3x_0" localSheetId="40">'200'!$T$26</definedName>
    <definedName name="OSRRefT22_3x_0" localSheetId="41">'201'!$T$35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'206'!$T$35</definedName>
    <definedName name="OSRRefT22_3x_0" localSheetId="48">'300'!$T$146:$T$147</definedName>
    <definedName name="OSRRefT22_3x_0" localSheetId="49">'300 &amp; 317'!$T$169:$T$170</definedName>
    <definedName name="OSRRefT22_3x_0" localSheetId="50">'301'!$T$42:$T$43</definedName>
    <definedName name="OSRRefT22_3x_0" localSheetId="55">'307'!$T$54</definedName>
    <definedName name="OSRRefT22_3x_0" localSheetId="51">'308'!$T$81:$T$82</definedName>
    <definedName name="OSRRefT22_3x_0" localSheetId="64">'309'!$T$27</definedName>
    <definedName name="OSRRefT22_3x_0" localSheetId="63">'310'!$T$48</definedName>
    <definedName name="OSRRefT22_3x_0" localSheetId="71">'310 &amp; 491'!$T$53</definedName>
    <definedName name="OSRRefT22_3x_0" localSheetId="52">'311'!$T$81:$T$82</definedName>
    <definedName name="OSRRefT22_3x_0" localSheetId="65">'313'!$T$38</definedName>
    <definedName name="OSRRefT22_3x_0" localSheetId="57">'315'!$T$104:$T$105</definedName>
    <definedName name="OSRRefT22_3x_0" localSheetId="60">'316'!$T$48</definedName>
    <definedName name="OSRRefT22_3x_0" localSheetId="62">'317'!$T$72</definedName>
    <definedName name="OSRRefT22_3x_0" localSheetId="66">'321'!$T$41</definedName>
    <definedName name="OSRRefT22_3x_0" localSheetId="67">'322'!$T$31</definedName>
    <definedName name="OSRRefT22_3x_0" localSheetId="68">'325'!$T$39</definedName>
    <definedName name="OSRRefT22_3x_0" localSheetId="58">'326'!$T$68</definedName>
    <definedName name="OSRRefT22_3x_0" localSheetId="56">'331'!$T$104</definedName>
    <definedName name="OSRRefT22_3x_0" localSheetId="59">'332'!$T$50</definedName>
    <definedName name="OSRRefT22_3x_0" localSheetId="54">'333'!$T$106</definedName>
    <definedName name="OSRRefT22_3x_0" localSheetId="73">'405'!$T$40</definedName>
    <definedName name="OSRRefT22_3x_0" localSheetId="74">'406'!$T$26</definedName>
    <definedName name="OSRRefT22_3x_0" localSheetId="75">'411'!$T$37:$T$38</definedName>
    <definedName name="OSRRefT22_3x_0" localSheetId="76">'412'!$T$27</definedName>
    <definedName name="OSRRefT22_3x_0" localSheetId="77">'413'!$T$30</definedName>
    <definedName name="OSRRefT22_3x_0" localSheetId="78">'414'!$T$27</definedName>
    <definedName name="OSRRefT22_3x_0" localSheetId="79">'415'!$T$40</definedName>
    <definedName name="OSRRefT22_3x_0" localSheetId="80">'418'!$T$37</definedName>
    <definedName name="OSRRefT22_3x_0" localSheetId="82">'423'!$T$27</definedName>
    <definedName name="OSRRefT22_3x_0" localSheetId="83">'424'!$T$26</definedName>
    <definedName name="OSRRefT22_3x_0" localSheetId="84">'425'!$T$32</definedName>
    <definedName name="OSRRefT22_3x_0" localSheetId="87">'430'!$T$33</definedName>
    <definedName name="OSRRefT22_3x_0" localSheetId="88">'433'!$T$43</definedName>
    <definedName name="OSRRefT22_3x_0" localSheetId="90">'444'!$T$43</definedName>
    <definedName name="OSRRefT22_3x_0" localSheetId="91">'450'!$T$43</definedName>
    <definedName name="OSRRefT22_3x_0" localSheetId="72">'491'!$T$44</definedName>
    <definedName name="OSRRefT22_3x_0" localSheetId="86">'492'!$T$44</definedName>
    <definedName name="OSRRefT22_3x_0" localSheetId="93">'501'!$T$40</definedName>
    <definedName name="OSRRefT22_3x_0" localSheetId="39">'Div 2'!$T$41</definedName>
    <definedName name="OSRRefT22_3x_0" localSheetId="47">'Div 3'!$T$151:$T$152</definedName>
    <definedName name="OSRRefT22_3x_0" localSheetId="70">'Div 4'!$T$47</definedName>
    <definedName name="OSRRefT22_3x_0" localSheetId="92">'Div 5'!$T$40</definedName>
    <definedName name="OSRRefT22_3x_0" localSheetId="61">'Div 6'!$T$72</definedName>
    <definedName name="OSRRefT22_3x_0" localSheetId="2">Summary!$T$178:$T$179</definedName>
    <definedName name="OSRRefT22_4x_0" localSheetId="41">'201'!$T$37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'205'!$T$35:$T$36</definedName>
    <definedName name="OSRRefT22_4x_0" localSheetId="46">'206'!$T$37</definedName>
    <definedName name="OSRRefT22_4x_0" localSheetId="48">'300'!$T$149</definedName>
    <definedName name="OSRRefT22_4x_0" localSheetId="49">'300 &amp; 317'!$T$172</definedName>
    <definedName name="OSRRefT22_4x_0" localSheetId="50">'301'!$T$45</definedName>
    <definedName name="OSRRefT22_4x_0" localSheetId="55">'307'!$T$56:$T$57</definedName>
    <definedName name="OSRRefT22_4x_0" localSheetId="51">'308'!$T$84</definedName>
    <definedName name="OSRRefT22_4x_0" localSheetId="64">'309'!$T$29</definedName>
    <definedName name="OSRRefT22_4x_0" localSheetId="63">'310'!$T$50</definedName>
    <definedName name="OSRRefT22_4x_0" localSheetId="71">'310 &amp; 491'!$T$55</definedName>
    <definedName name="OSRRefT22_4x_0" localSheetId="52">'311'!$T$84</definedName>
    <definedName name="OSRRefT22_4x_0" localSheetId="65">'313'!$T$40</definedName>
    <definedName name="OSRRefT22_4x_0" localSheetId="57">'315'!$T$107</definedName>
    <definedName name="OSRRefT22_4x_0" localSheetId="60">'316'!$T$50</definedName>
    <definedName name="OSRRefT22_4x_0" localSheetId="62">'317'!$T$74</definedName>
    <definedName name="OSRRefT22_4x_0" localSheetId="66">'321'!$T$43</definedName>
    <definedName name="OSRRefT22_4x_0" localSheetId="67">'322'!$T$33:$T$34</definedName>
    <definedName name="OSRRefT22_4x_0" localSheetId="68">'325'!$T$41</definedName>
    <definedName name="OSRRefT22_4x_0" localSheetId="58">'326'!$T$70</definedName>
    <definedName name="OSRRefT22_4x_0" localSheetId="56">'331'!$T$106</definedName>
    <definedName name="OSRRefT22_4x_0" localSheetId="59">'332'!$T$52</definedName>
    <definedName name="OSRRefT22_4x_0" localSheetId="54">'333'!$T$108</definedName>
    <definedName name="OSRRefT22_4x_0" localSheetId="73">'405'!$T$42</definedName>
    <definedName name="OSRRefT22_4x_0" localSheetId="74">'406'!$T$28</definedName>
    <definedName name="OSRRefT22_4x_0" localSheetId="75">'411'!$T$40</definedName>
    <definedName name="OSRRefT22_4x_0" localSheetId="76">'412'!$T$29</definedName>
    <definedName name="OSRRefT22_4x_0" localSheetId="77">'413'!$T$32</definedName>
    <definedName name="OSRRefT22_4x_0" localSheetId="78">'414'!$T$29:$T$30</definedName>
    <definedName name="OSRRefT22_4x_0" localSheetId="79">'415'!$T$42</definedName>
    <definedName name="OSRRefT22_4x_0" localSheetId="80">'418'!$T$39:$T$40</definedName>
    <definedName name="OSRRefT22_4x_0" localSheetId="84">'425'!$T$34</definedName>
    <definedName name="OSRRefT22_4x_0" localSheetId="87">'430'!$T$35</definedName>
    <definedName name="OSRRefT22_4x_0" localSheetId="88">'433'!$T$45</definedName>
    <definedName name="OSRRefT22_4x_0" localSheetId="90">'444'!$T$45</definedName>
    <definedName name="OSRRefT22_4x_0" localSheetId="91">'450'!$T$45</definedName>
    <definedName name="OSRRefT22_4x_0" localSheetId="72">'491'!$T$46</definedName>
    <definedName name="OSRRefT22_4x_0" localSheetId="86">'492'!$T$46</definedName>
    <definedName name="OSRRefT22_4x_0" localSheetId="93">'501'!$T$42:$T$43</definedName>
    <definedName name="OSRRefT22_4x_0" localSheetId="39">'Div 2'!$T$43</definedName>
    <definedName name="OSRRefT22_4x_0" localSheetId="47">'Div 3'!$T$154</definedName>
    <definedName name="OSRRefT22_4x_0" localSheetId="70">'Div 4'!$T$49</definedName>
    <definedName name="OSRRefT22_4x_0" localSheetId="92">'Div 5'!$T$42:$T$43</definedName>
    <definedName name="OSRRefT22_4x_0" localSheetId="61">'Div 6'!$T$74</definedName>
    <definedName name="OSRRefT22_4x_0" localSheetId="2">Summary!$T$181</definedName>
    <definedName name="OSRRefT22_5x_0" localSheetId="41">'201'!$T$39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'205'!$T$38:$T$40</definedName>
    <definedName name="OSRRefT22_5x_0" localSheetId="46">'206'!$T$39</definedName>
    <definedName name="OSRRefT22_5x_0" localSheetId="48">'300'!$T$151:$T$152</definedName>
    <definedName name="OSRRefT22_5x_0" localSheetId="49">'300 &amp; 317'!$T$174:$T$175</definedName>
    <definedName name="OSRRefT22_5x_0" localSheetId="50">'301'!$T$47:$T$48</definedName>
    <definedName name="OSRRefT22_5x_0" localSheetId="55">'307'!$T$59</definedName>
    <definedName name="OSRRefT22_5x_0" localSheetId="51">'308'!$T$86</definedName>
    <definedName name="OSRRefT22_5x_0" localSheetId="64">'309'!$T$31:$T$32</definedName>
    <definedName name="OSRRefT22_5x_0" localSheetId="63">'310'!$T$52:$T$53</definedName>
    <definedName name="OSRRefT22_5x_0" localSheetId="71">'310 &amp; 491'!$T$57:$T$58</definedName>
    <definedName name="OSRRefT22_5x_0" localSheetId="52">'311'!$T$86</definedName>
    <definedName name="OSRRefT22_5x_0" localSheetId="65">'313'!$T$42</definedName>
    <definedName name="OSRRefT22_5x_0" localSheetId="57">'315'!$T$109</definedName>
    <definedName name="OSRRefT22_5x_0" localSheetId="60">'316'!$T$52</definedName>
    <definedName name="OSRRefT22_5x_0" localSheetId="62">'317'!$T$76:$T$77</definedName>
    <definedName name="OSRRefT22_5x_0" localSheetId="66">'321'!$T$45</definedName>
    <definedName name="OSRRefT22_5x_0" localSheetId="67">'322'!$T$36</definedName>
    <definedName name="OSRRefT22_5x_0" localSheetId="68">'325'!$T$43:$T$44</definedName>
    <definedName name="OSRRefT22_5x_0" localSheetId="58">'326'!$T$72</definedName>
    <definedName name="OSRRefT22_5x_0" localSheetId="56">'331'!$T$108:$T$109</definedName>
    <definedName name="OSRRefT22_5x_0" localSheetId="59">'332'!$T$54</definedName>
    <definedName name="OSRRefT22_5x_0" localSheetId="54">'333'!$T$110:$T$111</definedName>
    <definedName name="OSRRefT22_5x_0" localSheetId="73">'405'!$T$44:$T$45</definedName>
    <definedName name="OSRRefT22_5x_0" localSheetId="75">'411'!$T$42</definedName>
    <definedName name="OSRRefT22_5x_0" localSheetId="77">'413'!$T$34</definedName>
    <definedName name="OSRRefT22_5x_0" localSheetId="79">'415'!$T$44:$T$45</definedName>
    <definedName name="OSRRefT22_5x_0" localSheetId="80">'418'!$T$42</definedName>
    <definedName name="OSRRefT22_5x_0" localSheetId="84">'425'!$T$36:$T$37</definedName>
    <definedName name="OSRRefT22_5x_0" localSheetId="87">'430'!$T$37:$T$38</definedName>
    <definedName name="OSRRefT22_5x_0" localSheetId="88">'433'!$T$47</definedName>
    <definedName name="OSRRefT22_5x_0" localSheetId="90">'444'!$T$47</definedName>
    <definedName name="OSRRefT22_5x_0" localSheetId="91">'450'!$T$47</definedName>
    <definedName name="OSRRefT22_5x_0" localSheetId="72">'491'!$T$48:$T$49</definedName>
    <definedName name="OSRRefT22_5x_0" localSheetId="86">'492'!$T$48</definedName>
    <definedName name="OSRRefT22_5x_0" localSheetId="93">'501'!$T$45</definedName>
    <definedName name="OSRRefT22_5x_0" localSheetId="39">'Div 2'!$T$45</definedName>
    <definedName name="OSRRefT22_5x_0" localSheetId="47">'Div 3'!$T$156:$T$157</definedName>
    <definedName name="OSRRefT22_5x_0" localSheetId="70">'Div 4'!$T$51:$T$52</definedName>
    <definedName name="OSRRefT22_5x_0" localSheetId="92">'Div 5'!$T$45</definedName>
    <definedName name="OSRRefT22_5x_0" localSheetId="61">'Div 6'!$T$76:$T$77</definedName>
    <definedName name="OSRRefT22_5x_0" localSheetId="2">Summary!$T$183:$T$184</definedName>
    <definedName name="OSRRefT22_6x_0" localSheetId="41">'201'!$T$41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'205'!$T$42</definedName>
    <definedName name="OSRRefT22_6x_0" localSheetId="46">'206'!$T$41</definedName>
    <definedName name="OSRRefT22_6x_0" localSheetId="48">'300'!$T$154:$T$155</definedName>
    <definedName name="OSRRefT22_6x_0" localSheetId="49">'300 &amp; 317'!$T$177:$T$178</definedName>
    <definedName name="OSRRefT22_6x_0" localSheetId="50">'301'!$T$50:$T$51</definedName>
    <definedName name="OSRRefT22_6x_0" localSheetId="55">'307'!$T$61</definedName>
    <definedName name="OSRRefT22_6x_0" localSheetId="51">'308'!$T$88:$T$89</definedName>
    <definedName name="OSRRefT22_6x_0" localSheetId="64">'309'!$T$34:$T$35</definedName>
    <definedName name="OSRRefT22_6x_0" localSheetId="63">'310'!$T$55</definedName>
    <definedName name="OSRRefT22_6x_0" localSheetId="71">'310 &amp; 491'!$T$60</definedName>
    <definedName name="OSRRefT22_6x_0" localSheetId="52">'311'!$T$88:$T$89</definedName>
    <definedName name="OSRRefT22_6x_0" localSheetId="65">'313'!$T$44</definedName>
    <definedName name="OSRRefT22_6x_0" localSheetId="57">'315'!$T$111:$T$112</definedName>
    <definedName name="OSRRefT22_6x_0" localSheetId="60">'316'!$T$54:$T$55</definedName>
    <definedName name="OSRRefT22_6x_0" localSheetId="62">'317'!$T$79</definedName>
    <definedName name="OSRRefT22_6x_0" localSheetId="66">'321'!$T$47:$T$48</definedName>
    <definedName name="OSRRefT22_6x_0" localSheetId="67">'322'!$T$38</definedName>
    <definedName name="OSRRefT22_6x_0" localSheetId="68">'325'!$T$46</definedName>
    <definedName name="OSRRefT22_6x_0" localSheetId="58">'326'!$T$74</definedName>
    <definedName name="OSRRefT22_6x_0" localSheetId="56">'331'!$T$111</definedName>
    <definedName name="OSRRefT22_6x_0" localSheetId="59">'332'!$T$56:$T$57</definedName>
    <definedName name="OSRRefT22_6x_0" localSheetId="54">'333'!$T$113</definedName>
    <definedName name="OSRRefT22_6x_0" localSheetId="73">'405'!$T$47</definedName>
    <definedName name="OSRRefT22_6x_0" localSheetId="75">'411'!$T$44</definedName>
    <definedName name="OSRRefT22_6x_0" localSheetId="79">'415'!$T$47</definedName>
    <definedName name="OSRRefT22_6x_0" localSheetId="80">'418'!$T$44</definedName>
    <definedName name="OSRRefT22_6x_0" localSheetId="84">'425'!$T$39</definedName>
    <definedName name="OSRRefT22_6x_0" localSheetId="87">'430'!$T$40</definedName>
    <definedName name="OSRRefT22_6x_0" localSheetId="88">'433'!$T$49</definedName>
    <definedName name="OSRRefT22_6x_0" localSheetId="90">'444'!$T$49</definedName>
    <definedName name="OSRRefT22_6x_0" localSheetId="91">'450'!$T$49</definedName>
    <definedName name="OSRRefT22_6x_0" localSheetId="72">'491'!$T$51</definedName>
    <definedName name="OSRRefT22_6x_0" localSheetId="86">'492'!$T$50</definedName>
    <definedName name="OSRRefT22_6x_0" localSheetId="93">'501'!$T$47</definedName>
    <definedName name="OSRRefT22_6x_0" localSheetId="39">'Div 2'!$T$47</definedName>
    <definedName name="OSRRefT22_6x_0" localSheetId="47">'Div 3'!$T$159:$T$160</definedName>
    <definedName name="OSRRefT22_6x_0" localSheetId="70">'Div 4'!$T$54</definedName>
    <definedName name="OSRRefT22_6x_0" localSheetId="92">'Div 5'!$T$47</definedName>
    <definedName name="OSRRefT22_6x_0" localSheetId="61">'Div 6'!$T$79</definedName>
    <definedName name="OSRRefT22_6x_0" localSheetId="2">Summary!$T$186:$T$187</definedName>
    <definedName name="OSRRefT22_7x_0" localSheetId="41">'201'!$T$43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'300'!$T$157</definedName>
    <definedName name="OSRRefT22_7x_0" localSheetId="49">'300 &amp; 317'!$T$180</definedName>
    <definedName name="OSRRefT22_7x_0" localSheetId="50">'301'!$T$53</definedName>
    <definedName name="OSRRefT22_7x_0" localSheetId="55">'307'!$T$63</definedName>
    <definedName name="OSRRefT22_7x_0" localSheetId="51">'308'!$T$91</definedName>
    <definedName name="OSRRefT22_7x_0" localSheetId="64">'309'!$T$37:$T$38</definedName>
    <definedName name="OSRRefT22_7x_0" localSheetId="63">'310'!$T$57</definedName>
    <definedName name="OSRRefT22_7x_0" localSheetId="71">'310 &amp; 491'!$T$62</definedName>
    <definedName name="OSRRefT22_7x_0" localSheetId="52">'311'!$T$91</definedName>
    <definedName name="OSRRefT22_7x_0" localSheetId="65">'313'!$T$46</definedName>
    <definedName name="OSRRefT22_7x_0" localSheetId="57">'315'!$T$114:$T$115</definedName>
    <definedName name="OSRRefT22_7x_0" localSheetId="60">'316'!$T$57</definedName>
    <definedName name="OSRRefT22_7x_0" localSheetId="62">'317'!$T$81</definedName>
    <definedName name="OSRRefT22_7x_0" localSheetId="66">'321'!$T$50</definedName>
    <definedName name="OSRRefT22_7x_0" localSheetId="67">'322'!$T$40</definedName>
    <definedName name="OSRRefT22_7x_0" localSheetId="68">'325'!$T$48</definedName>
    <definedName name="OSRRefT22_7x_0" localSheetId="58">'326'!$T$76</definedName>
    <definedName name="OSRRefT22_7x_0" localSheetId="56">'331'!$T$113</definedName>
    <definedName name="OSRRefT22_7x_0" localSheetId="59">'332'!$T$59</definedName>
    <definedName name="OSRRefT22_7x_0" localSheetId="54">'333'!$T$115</definedName>
    <definedName name="OSRRefT22_7x_0" localSheetId="73">'405'!$T$49</definedName>
    <definedName name="OSRRefT22_7x_0" localSheetId="75">'411'!$T$46</definedName>
    <definedName name="OSRRefT22_7x_0" localSheetId="79">'415'!$T$49</definedName>
    <definedName name="OSRRefT22_7x_0" localSheetId="80">'418'!$T$46</definedName>
    <definedName name="OSRRefT22_7x_0" localSheetId="84">'425'!$T$41</definedName>
    <definedName name="OSRRefT22_7x_0" localSheetId="87">'430'!$T$42</definedName>
    <definedName name="OSRRefT22_7x_0" localSheetId="88">'433'!$T$51</definedName>
    <definedName name="OSRRefT22_7x_0" localSheetId="90">'444'!$T$51</definedName>
    <definedName name="OSRRefT22_7x_0" localSheetId="91">'450'!$T$51</definedName>
    <definedName name="OSRRefT22_7x_0" localSheetId="72">'491'!$T$53</definedName>
    <definedName name="OSRRefT22_7x_0" localSheetId="86">'492'!$T$52</definedName>
    <definedName name="OSRRefT22_7x_0" localSheetId="93">'501'!$T$49:$T$51</definedName>
    <definedName name="OSRRefT22_7x_0" localSheetId="39">'Div 2'!$T$49</definedName>
    <definedName name="OSRRefT22_7x_0" localSheetId="47">'Div 3'!$T$162</definedName>
    <definedName name="OSRRefT22_7x_0" localSheetId="70">'Div 4'!$T$56</definedName>
    <definedName name="OSRRefT22_7x_0" localSheetId="92">'Div 5'!$T$49:$T$51</definedName>
    <definedName name="OSRRefT22_7x_0" localSheetId="61">'Div 6'!$T$81</definedName>
    <definedName name="OSRRefT22_7x_0" localSheetId="2">Summary!$T$189</definedName>
    <definedName name="OSRRefT22_8x_0" localSheetId="41">'201'!$T$45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'300'!$T$159</definedName>
    <definedName name="OSRRefT22_8x_0" localSheetId="49">'300 &amp; 317'!$T$182</definedName>
    <definedName name="OSRRefT22_8x_0" localSheetId="50">'301'!$T$55</definedName>
    <definedName name="OSRRefT22_8x_0" localSheetId="55">'307'!$T$65:$T$66</definedName>
    <definedName name="OSRRefT22_8x_0" localSheetId="51">'308'!$T$93</definedName>
    <definedName name="OSRRefT22_8x_0" localSheetId="64">'309'!$T$40</definedName>
    <definedName name="OSRRefT22_8x_0" localSheetId="63">'310'!$T$59</definedName>
    <definedName name="OSRRefT22_8x_0" localSheetId="71">'310 &amp; 491'!$T$64:$T$65</definedName>
    <definedName name="OSRRefT22_8x_0" localSheetId="52">'311'!$T$93</definedName>
    <definedName name="OSRRefT22_8x_0" localSheetId="57">'315'!$T$117</definedName>
    <definedName name="OSRRefT22_8x_0" localSheetId="60">'316'!$T$59:$T$61</definedName>
    <definedName name="OSRRefT22_8x_0" localSheetId="62">'317'!$T$83:$T$85</definedName>
    <definedName name="OSRRefT22_8x_0" localSheetId="66">'321'!$T$52:$T$53</definedName>
    <definedName name="OSRRefT22_8x_0" localSheetId="68">'325'!$T$50</definedName>
    <definedName name="OSRRefT22_8x_0" localSheetId="58">'326'!$T$78</definedName>
    <definedName name="OSRRefT22_8x_0" localSheetId="56">'331'!$T$115:$T$116</definedName>
    <definedName name="OSRRefT22_8x_0" localSheetId="59">'332'!$T$61:$T$63</definedName>
    <definedName name="OSRRefT22_8x_0" localSheetId="54">'333'!$T$117:$T$118</definedName>
    <definedName name="OSRRefT22_8x_0" localSheetId="73">'405'!$T$51</definedName>
    <definedName name="OSRRefT22_8x_0" localSheetId="75">'411'!$T$48</definedName>
    <definedName name="OSRRefT22_8x_0" localSheetId="79">'415'!$T$51</definedName>
    <definedName name="OSRRefT22_8x_0" localSheetId="80">'418'!$T$48:$T$49</definedName>
    <definedName name="OSRRefT22_8x_0" localSheetId="84">'425'!$T$43</definedName>
    <definedName name="OSRRefT22_8x_0" localSheetId="87">'430'!$T$44</definedName>
    <definedName name="OSRRefT22_8x_0" localSheetId="88">'433'!$T$53</definedName>
    <definedName name="OSRRefT22_8x_0" localSheetId="90">'444'!$T$53</definedName>
    <definedName name="OSRRefT22_8x_0" localSheetId="91">'450'!$T$53</definedName>
    <definedName name="OSRRefT22_8x_0" localSheetId="72">'491'!$T$55</definedName>
    <definedName name="OSRRefT22_8x_0" localSheetId="86">'492'!$T$54</definedName>
    <definedName name="OSRRefT22_8x_0" localSheetId="93">'501'!$T$53:$T$54</definedName>
    <definedName name="OSRRefT22_8x_0" localSheetId="39">'Div 2'!$T$51</definedName>
    <definedName name="OSRRefT22_8x_0" localSheetId="47">'Div 3'!$T$164</definedName>
    <definedName name="OSRRefT22_8x_0" localSheetId="70">'Div 4'!$T$58</definedName>
    <definedName name="OSRRefT22_8x_0" localSheetId="92">'Div 5'!$T$53:$T$54</definedName>
    <definedName name="OSRRefT22_8x_0" localSheetId="61">'Div 6'!$T$83:$T$85</definedName>
    <definedName name="OSRRefT22_8x_0" localSheetId="2">Summary!$T$191</definedName>
    <definedName name="OSRRefT22_9x_0" localSheetId="41">'201'!$T$47:$T$49</definedName>
    <definedName name="OSRRefT22_9x_0" localSheetId="42">'202'!$T$50:$T$51</definedName>
    <definedName name="OSRRefT22_9x_0" localSheetId="43">'203'!$T$53</definedName>
    <definedName name="OSRRefT22_9x_0" localSheetId="44">'204'!$T$52</definedName>
    <definedName name="OSRRefT22_9x_0" localSheetId="48">'300'!$T$161</definedName>
    <definedName name="OSRRefT22_9x_0" localSheetId="49">'300 &amp; 317'!$T$184</definedName>
    <definedName name="OSRRefT22_9x_0" localSheetId="50">'301'!$T$57</definedName>
    <definedName name="OSRRefT22_9x_0" localSheetId="55">'307'!$T$68:$T$69</definedName>
    <definedName name="OSRRefT22_9x_0" localSheetId="51">'308'!$T$95:$T$97</definedName>
    <definedName name="OSRRefT22_9x_0" localSheetId="63">'310'!$T$61</definedName>
    <definedName name="OSRRefT22_9x_0" localSheetId="71">'310 &amp; 491'!$T$67</definedName>
    <definedName name="OSRRefT22_9x_0" localSheetId="52">'311'!$T$95:$T$97</definedName>
    <definedName name="OSRRefT22_9x_0" localSheetId="57">'315'!$T$119:$T$120</definedName>
    <definedName name="OSRRefT22_9x_0" localSheetId="60">'316'!$T$63</definedName>
    <definedName name="OSRRefT22_9x_0" localSheetId="62">'317'!$T$87</definedName>
    <definedName name="OSRRefT22_9x_0" localSheetId="66">'321'!$T$55:$T$59</definedName>
    <definedName name="OSRRefT22_9x_0" localSheetId="68">'325'!$T$52</definedName>
    <definedName name="OSRRefT22_9x_0" localSheetId="58">'326'!$T$80</definedName>
    <definedName name="OSRRefT22_9x_0" localSheetId="56">'331'!$T$118</definedName>
    <definedName name="OSRRefT22_9x_0" localSheetId="59">'332'!$T$65</definedName>
    <definedName name="OSRRefT22_9x_0" localSheetId="54">'333'!$T$120</definedName>
    <definedName name="OSRRefT22_9x_0" localSheetId="73">'405'!$T$53</definedName>
    <definedName name="OSRRefT22_9x_0" localSheetId="75">'411'!$T$50:$T$52</definedName>
    <definedName name="OSRRefT22_9x_0" localSheetId="79">'415'!$T$53</definedName>
    <definedName name="OSRRefT22_9x_0" localSheetId="80">'418'!$T$51</definedName>
    <definedName name="OSRRefT22_9x_0" localSheetId="88">'433'!$T$55</definedName>
    <definedName name="OSRRefT22_9x_0" localSheetId="90">'444'!$T$55</definedName>
    <definedName name="OSRRefT22_9x_0" localSheetId="91">'450'!$T$55</definedName>
    <definedName name="OSRRefT22_9x_0" localSheetId="72">'491'!$T$57</definedName>
    <definedName name="OSRRefT22_9x_0" localSheetId="86">'492'!$T$56</definedName>
    <definedName name="OSRRefT22_9x_0" localSheetId="93">'501'!$T$56</definedName>
    <definedName name="OSRRefT22_9x_0" localSheetId="39">'Div 2'!$T$53:$T$54</definedName>
    <definedName name="OSRRefT22_9x_0" localSheetId="47">'Div 3'!$T$166</definedName>
    <definedName name="OSRRefT22_9x_0" localSheetId="70">'Div 4'!$T$60</definedName>
    <definedName name="OSRRefT22_9x_0" localSheetId="92">'Div 5'!$T$56</definedName>
    <definedName name="OSRRefT22_9x_0" localSheetId="61">'Div 6'!$T$87</definedName>
    <definedName name="OSRRefT22_9x_0" localSheetId="2">Summary!$T$193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'201'!$T$20:$T$27,'201'!$T$29:$T$31,'201'!$T$33,'201'!$T$35,'201'!$T$37,'201'!$T$39,'201'!$T$41,'201'!$T$43,'201'!$T$45,'201'!$T$47:$T$49,'201'!$T$51:$T$52,'201'!$T$54,'201'!$T$56:$T$57,'201'!$T$59,'201'!$T$61</definedName>
    <definedName name="OSRRefT22x_0" localSheetId="42">'202'!$T$20:$T$27,'202'!$T$29:$T$31,'202'!$T$33,'202'!$T$35,'202'!$T$37,'202'!$T$39:$T$40,'202'!$T$42,'202'!$T$44:$T$46,'202'!$T$48,'202'!$T$50:$T$51,'202'!$T$53,'202'!$T$55,'202'!$T$57</definedName>
    <definedName name="OSRRefT22x_0" localSheetId="43">'203'!$T$20:$T$29,'203'!$T$31:$T$35,'203'!$T$37,'203'!$T$39,'203'!$T$41,'203'!$T$43,'203'!$T$45,'203'!$T$47:$T$48,'203'!$T$50:$T$51,'203'!$T$53,'203'!$T$55:$T$58,'203'!$T$60,'203'!$T$62,'203'!$T$64</definedName>
    <definedName name="OSRRefT22x_0" localSheetId="44">'204'!$T$20:$T$28,'204'!$T$30:$T$32,'204'!$T$34,'204'!$T$36,'204'!$T$38,'204'!$T$40:$T$43,'204'!$T$45,'204'!$T$47:$T$48,'204'!$T$50,'204'!$T$52</definedName>
    <definedName name="OSRRefT22x_0" localSheetId="45">'205'!$T$20:$T$27,'205'!$T$29,'205'!$T$31,'205'!$T$33,'205'!$T$35:$T$36,'205'!$T$38:$T$40,'205'!$T$42</definedName>
    <definedName name="OSRRefT22x_0" localSheetId="46">'206'!$T$20:$T$27,'206'!$T$29:$T$31,'206'!$T$33,'206'!$T$35,'206'!$T$37,'206'!$T$39,'206'!$T$41</definedName>
    <definedName name="OSRRefT22x_0" localSheetId="48">'300'!$T$125:$T$134,'300'!$T$136:$T$142,'300'!$T$144,'300'!$T$146:$T$147,'300'!$T$149,'300'!$T$151:$T$152,'300'!$T$154:$T$155,'300'!$T$157,'300'!$T$159,'300'!$T$161,'300'!$T$163:$T$164,'300'!$T$166,'300'!$T$168,'300'!$T$170:$T$171,'300'!$T$173,'300'!$T$175,'300'!$T$177:$T$180,'300'!$T$182:$T$184,'300'!$T$186:$T$189,'300'!$T$191:$T$192,'300'!$T$194:$T$200,'300'!$T$202:$T$203,'300'!$T$205,'300'!$T$207:$T$209,'300'!$T$211</definedName>
    <definedName name="OSRRefT22x_0" localSheetId="49">'300 &amp; 317'!$T$148:$T$157,'300 &amp; 317'!$T$159:$T$165,'300 &amp; 317'!$T$167,'300 &amp; 317'!$T$169:$T$170,'300 &amp; 317'!$T$172,'300 &amp; 317'!$T$174:$T$175,'300 &amp; 317'!$T$177:$T$178,'300 &amp; 317'!$T$180,'300 &amp; 317'!$T$182,'300 &amp; 317'!$T$184,'300 &amp; 317'!$T$186:$T$187,'300 &amp; 317'!$T$189,'300 &amp; 317'!$T$191,'300 &amp; 317'!$T$193:$T$194,'300 &amp; 317'!$T$196,'300 &amp; 317'!$T$198,'300 &amp; 317'!$T$200:$T$203,'300 &amp; 317'!$T$205:$T$207,'300 &amp; 317'!$T$209:$T$212,'300 &amp; 317'!$T$214:$T$215,'300 &amp; 317'!$T$217:$T$223,'300 &amp; 317'!$T$225:$T$226,'300 &amp; 317'!$T$228,'300 &amp; 317'!$T$230:$T$232,'300 &amp; 317'!$T$234</definedName>
    <definedName name="OSRRefT22x_0" localSheetId="50">'301'!$T$21:$T$30,'301'!$T$32:$T$38,'301'!$T$40,'301'!$T$42:$T$43,'301'!$T$45,'301'!$T$47:$T$48,'301'!$T$50:$T$51,'301'!$T$53,'301'!$T$55,'301'!$T$57,'301'!$T$59,'301'!$T$61,'301'!$T$63,'301'!$T$65,'301'!$T$67,'301'!$T$69:$T$72,'301'!$T$74:$T$76,'301'!$T$78,'301'!$T$80:$T$85,'301'!$T$87,'301'!$T$89,'301'!$T$91:$T$92,'301'!$T$94</definedName>
    <definedName name="OSRRefT22x_0" localSheetId="55">'307'!$T$43:$T$45,'307'!$T$47:$T$50,'307'!$T$52,'307'!$T$54,'307'!$T$56:$T$57,'307'!$T$59,'307'!$T$61,'307'!$T$63,'307'!$T$65:$T$66,'307'!$T$68:$T$69,'307'!$T$71:$T$74,'307'!$T$76,'307'!$T$78</definedName>
    <definedName name="OSRRefT22x_0" localSheetId="51">'308'!$T$61:$T$69,'308'!$T$71:$T$77,'308'!$T$79,'308'!$T$81:$T$82,'308'!$T$84,'308'!$T$86,'308'!$T$88:$T$89,'308'!$T$91,'308'!$T$93,'308'!$T$95:$T$97,'308'!$T$99:$T$100,'308'!$T$102:$T$103,'308'!$T$105:$T$106,'308'!$T$108</definedName>
    <definedName name="OSRRefT22x_0" localSheetId="64">'309'!$T$21,'309'!$T$23,'309'!$T$25,'309'!$T$27,'309'!$T$29,'309'!$T$31:$T$32,'309'!$T$34:$T$35,'309'!$T$37:$T$38,'309'!$T$40</definedName>
    <definedName name="OSRRefT22x_0" localSheetId="63">'310'!$T$31:$T$39,'310'!$T$41:$T$44,'310'!$T$46,'310'!$T$48,'310'!$T$50,'310'!$T$52:$T$53,'310'!$T$55,'310'!$T$57,'310'!$T$59,'310'!$T$61,'310'!$T$63,'310'!$T$65:$T$66,'310'!$T$68,'310'!$T$70:$T$73,'310'!$T$75:$T$80,'310'!$T$82,'310'!$T$84</definedName>
    <definedName name="OSRRefT22x_0" localSheetId="71">'310 &amp; 491'!$T$35:$T$43,'310 &amp; 491'!$T$45:$T$49,'310 &amp; 491'!$T$51,'310 &amp; 491'!$T$53,'310 &amp; 491'!$T$55,'310 &amp; 491'!$T$57:$T$58,'310 &amp; 491'!$T$60,'310 &amp; 491'!$T$62,'310 &amp; 491'!$T$64:$T$65,'310 &amp; 491'!$T$67,'310 &amp; 491'!$T$69,'310 &amp; 491'!$T$71,'310 &amp; 491'!$T$73,'310 &amp; 491'!$T$75:$T$77,'310 &amp; 491'!$T$79,'310 &amp; 491'!$T$81:$T$84,'310 &amp; 491'!$T$86,'310 &amp; 491'!$T$88:$T$96,'310 &amp; 491'!$T$98,'310 &amp; 491'!$T$100,'310 &amp; 491'!$T$102:$T$103,'310 &amp; 491'!$T$105</definedName>
    <definedName name="OSRRefT22x_0" localSheetId="52">'311'!$T$61:$T$69,'311'!$T$71:$T$77,'311'!$T$79,'311'!$T$81:$T$82,'311'!$T$84,'311'!$T$86,'311'!$T$88:$T$89,'311'!$T$91,'311'!$T$93,'311'!$T$95:$T$97,'311'!$T$99:$T$100,'311'!$T$102:$T$103,'311'!$T$105:$T$106,'311'!$T$108</definedName>
    <definedName name="OSRRefT22x_0" localSheetId="65">'313'!$T$25:$T$32,'313'!$T$34,'313'!$T$36,'313'!$T$38,'313'!$T$40,'313'!$T$42,'313'!$T$44,'313'!$T$46</definedName>
    <definedName name="OSRRefT22x_0" localSheetId="57">'315'!$T$87:$T$94,'315'!$T$96:$T$100,'315'!$T$102,'315'!$T$104:$T$105,'315'!$T$107,'315'!$T$109,'315'!$T$111:$T$112,'315'!$T$114:$T$115,'315'!$T$117,'315'!$T$119:$T$120,'315'!$T$122:$T$123,'315'!$T$125:$T$126,'315'!$T$128:$T$132,'315'!$T$134,'315'!$T$136</definedName>
    <definedName name="OSRRefT22x_0" localSheetId="60">'316'!$T$33:$T$40,'316'!$T$42:$T$44,'316'!$T$46,'316'!$T$48,'316'!$T$50,'316'!$T$52,'316'!$T$54:$T$55,'316'!$T$57,'316'!$T$59:$T$61,'316'!$T$63,'316'!$T$65:$T$69,'316'!$T$71,'316'!$T$73</definedName>
    <definedName name="OSRRefT22x_0" localSheetId="62">'317'!$T$54:$T$62,'317'!$T$64:$T$68,'317'!$T$70,'317'!$T$72,'317'!$T$74,'317'!$T$76:$T$77,'317'!$T$79,'317'!$T$81,'317'!$T$83:$T$85,'317'!$T$87,'317'!$T$89</definedName>
    <definedName name="OSRRefT22x_0" localSheetId="66">'321'!$T$24:$T$32,'321'!$T$34:$T$37,'321'!$T$39,'321'!$T$41,'321'!$T$43,'321'!$T$45,'321'!$T$47:$T$48,'321'!$T$50,'321'!$T$52:$T$53,'321'!$T$55:$T$59,'321'!$T$61,'321'!$T$63</definedName>
    <definedName name="OSRRefT22x_0" localSheetId="67">'322'!$T$21:$T$25,'322'!$T$27,'322'!$T$29,'322'!$T$31,'322'!$T$33:$T$34,'322'!$T$36,'322'!$T$38,'322'!$T$40</definedName>
    <definedName name="OSRRefT22x_0" localSheetId="68">'325'!$T$24:$T$31,'325'!$T$33:$T$35,'325'!$T$37,'325'!$T$39,'325'!$T$41,'325'!$T$43:$T$44,'325'!$T$46,'325'!$T$48,'325'!$T$50,'325'!$T$52,'325'!$T$54:$T$55,'325'!$T$57:$T$60,'325'!$T$62:$T$66,'325'!$T$68,'325'!$T$70</definedName>
    <definedName name="OSRRefT22x_0" localSheetId="58">'326'!$T$51:$T$58,'326'!$T$60:$T$64,'326'!$T$66,'326'!$T$68,'326'!$T$70,'326'!$T$72,'326'!$T$74,'326'!$T$76,'326'!$T$78,'326'!$T$80,'326'!$T$82,'326'!$T$84:$T$86,'326'!$T$88:$T$90,'326'!$T$92:$T$93,'326'!$T$95:$T$98,'326'!$T$100,'326'!$T$102,'326'!$T$104</definedName>
    <definedName name="OSRRefT22x_0" localSheetId="69">'327'!$T$24,'327'!$T$26</definedName>
    <definedName name="OSRRefT22x_0" localSheetId="56">'331'!$T$87:$T$94,'331'!$T$96:$T$100,'331'!$T$102,'331'!$T$104,'331'!$T$106,'331'!$T$108:$T$109,'331'!$T$111,'331'!$T$113,'331'!$T$115:$T$116,'331'!$T$118,'331'!$T$120,'331'!$T$122:$T$123,'331'!$T$125,'331'!$T$127,'331'!$T$129:$T$131,'331'!$T$133:$T$134,'331'!$T$136:$T$138,'331'!$T$140:$T$141,'331'!$T$143:$T$148,'331'!$T$150,'331'!$T$152,'331'!$T$154</definedName>
    <definedName name="OSRRefT22x_0" localSheetId="59">'332'!$T$35:$T$42,'332'!$T$44:$T$46,'332'!$T$48,'332'!$T$50,'332'!$T$52,'332'!$T$54,'332'!$T$56:$T$57,'332'!$T$59,'332'!$T$61:$T$63,'332'!$T$65,'332'!$T$67:$T$71,'332'!$T$73,'332'!$T$75</definedName>
    <definedName name="OSRRefT22x_0" localSheetId="54">'333'!$T$89:$T$96,'333'!$T$98:$T$102,'333'!$T$104,'333'!$T$106,'333'!$T$108,'333'!$T$110:$T$111,'333'!$T$113,'333'!$T$115,'333'!$T$117:$T$118,'333'!$T$120,'333'!$T$122,'333'!$T$124:$T$125,'333'!$T$127,'333'!$T$129,'333'!$T$131:$T$133,'333'!$T$135:$T$136,'333'!$T$138:$T$141,'333'!$T$143:$T$144,'333'!$T$146:$T$151,'333'!$T$153,'333'!$T$155,'333'!$T$157,'333'!$T$159</definedName>
    <definedName name="OSRRefT22x_0" localSheetId="73">'405'!$T$24:$T$31,'405'!$T$33:$T$36,'405'!$T$38,'405'!$T$40,'405'!$T$42,'405'!$T$44:$T$45,'405'!$T$47,'405'!$T$49,'405'!$T$51,'405'!$T$53,'405'!$T$55:$T$56,'405'!$T$58:$T$61,'405'!$T$63,'405'!$T$65:$T$72,'405'!$T$74,'405'!$T$76</definedName>
    <definedName name="OSRRefT22x_0" localSheetId="74">'406'!$T$20,'406'!$T$22,'406'!$T$24,'406'!$T$26,'406'!$T$28</definedName>
    <definedName name="OSRRefT22x_0" localSheetId="75">'411'!$T$20:$T$27,'411'!$T$29:$T$33,'411'!$T$35,'411'!$T$37:$T$38,'411'!$T$40,'411'!$T$42,'411'!$T$44,'411'!$T$46,'411'!$T$48,'411'!$T$50:$T$52,'411'!$T$54:$T$56,'411'!$T$58:$T$59,'411'!$T$61,'411'!$T$63:$T$64,'411'!$T$66</definedName>
    <definedName name="OSRRefT22x_0" localSheetId="76">'412'!$T$20,'412'!$T$22,'412'!$T$24:$T$25,'412'!$T$27,'412'!$T$29</definedName>
    <definedName name="OSRRefT22x_0" localSheetId="77">'413'!$T$20:$T$24,'413'!$T$26,'413'!$T$28,'413'!$T$30,'413'!$T$32,'413'!$T$34</definedName>
    <definedName name="OSRRefT22x_0" localSheetId="78">'414'!$T$21,'414'!$T$23,'414'!$T$25,'414'!$T$27,'414'!$T$29:$T$30</definedName>
    <definedName name="OSRRefT22x_0" localSheetId="79">'415'!$T$24:$T$31,'415'!$T$33:$T$36,'415'!$T$38,'415'!$T$40,'415'!$T$42,'415'!$T$44:$T$45,'415'!$T$47,'415'!$T$49,'415'!$T$51,'415'!$T$53,'415'!$T$55,'415'!$T$57:$T$58,'415'!$T$60:$T$63,'415'!$T$65,'415'!$T$67:$T$72,'415'!$T$74,'415'!$T$76,'415'!$T$78</definedName>
    <definedName name="OSRRefT22x_0" localSheetId="80">'418'!$T$21:$T$28,'418'!$T$30:$T$33,'418'!$T$35,'418'!$T$37,'418'!$T$39:$T$40,'418'!$T$42,'418'!$T$44,'418'!$T$46,'418'!$T$48:$T$49,'418'!$T$51,'418'!$T$53,'418'!$T$55:$T$59,'418'!$T$61</definedName>
    <definedName name="OSRRefT22x_0" localSheetId="81">'420'!$T$21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'425'!$T$22:$T$26,'425'!$T$28,'425'!$T$30,'425'!$T$32,'425'!$T$34,'425'!$T$36:$T$37,'425'!$T$39,'425'!$T$41,'425'!$T$43</definedName>
    <definedName name="OSRRefT22x_0" localSheetId="87">'430'!$T$20:$T$27,'430'!$T$29,'430'!$T$31,'430'!$T$33,'430'!$T$35,'430'!$T$37:$T$38,'430'!$T$40,'430'!$T$42,'430'!$T$44</definedName>
    <definedName name="OSRRefT22x_0" localSheetId="88">'433'!$T$25:$T$33,'433'!$T$35:$T$39,'433'!$T$41,'433'!$T$43,'433'!$T$45,'433'!$T$47,'433'!$T$49,'433'!$T$51,'433'!$T$53,'433'!$T$55,'433'!$T$57,'433'!$T$59:$T$60,'433'!$T$62:$T$64,'433'!$T$66:$T$73,'433'!$T$75</definedName>
    <definedName name="OSRRefT22x_0" localSheetId="89">'435'!$T$20,'435'!$T$22</definedName>
    <definedName name="OSRRefT22x_0" localSheetId="90">'444'!$T$25:$T$33,'444'!$T$35:$T$39,'444'!$T$41,'444'!$T$43,'444'!$T$45,'444'!$T$47,'444'!$T$49,'444'!$T$51,'444'!$T$53,'444'!$T$55,'444'!$T$57,'444'!$T$59:$T$60,'444'!$T$62:$T$65,'444'!$T$67,'444'!$T$69:$T$76,'444'!$T$78,'444'!$T$80</definedName>
    <definedName name="OSRRefT22x_0" localSheetId="91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2">'491'!$T$27:$T$34,'491'!$T$36:$T$40,'491'!$T$42,'491'!$T$44,'491'!$T$46,'491'!$T$48:$T$49,'491'!$T$51,'491'!$T$53,'491'!$T$55,'491'!$T$57,'491'!$T$59,'491'!$T$61,'491'!$T$63,'491'!$T$65:$T$67,'491'!$T$69,'491'!$T$71:$T$74,'491'!$T$76,'491'!$T$78:$T$86,'491'!$T$88,'491'!$T$90,'491'!$T$92:$T$93,'491'!$T$95</definedName>
    <definedName name="OSRRefT22x_0" localSheetId="86">'492'!$T$25:$T$33,'492'!$T$35:$T$40,'492'!$T$42,'492'!$T$44,'492'!$T$46,'492'!$T$48,'492'!$T$50,'492'!$T$52,'492'!$T$54,'492'!$T$56,'492'!$T$58,'492'!$T$60,'492'!$T$62:$T$64,'492'!$T$66:$T$69,'492'!$T$71,'492'!$T$73:$T$80,'492'!$T$82,'492'!$T$84,'492'!$T$86:$T$87</definedName>
    <definedName name="OSRRefT22x_0" localSheetId="93">'501'!$T$21:$T$29,'501'!$T$31:$T$36,'501'!$T$38,'501'!$T$40,'501'!$T$42:$T$43,'501'!$T$45,'501'!$T$47,'501'!$T$49:$T$51,'501'!$T$53:$T$54,'501'!$T$56,'501'!$T$58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2'!$T$71,'Div 2'!$T$73:$T$77,'Div 2'!$T$79:$T$80,'Div 2'!$T$82,'Div 2'!$T$84:$T$85</definedName>
    <definedName name="OSRRefT22x_0" localSheetId="47">'Div 3'!$T$130:$T$139,'Div 3'!$T$141:$T$147,'Div 3'!$T$149,'Div 3'!$T$151:$T$152,'Div 3'!$T$154,'Div 3'!$T$156:$T$157,'Div 3'!$T$159:$T$160,'Div 3'!$T$162,'Div 3'!$T$164,'Div 3'!$T$166,'Div 3'!$T$168:$T$169,'Div 3'!$T$171,'Div 3'!$T$173,'Div 3'!$T$175,'Div 3'!$T$177:$T$178,'Div 3'!$T$180,'Div 3'!$T$182,'Div 3'!$T$184:$T$187,'Div 3'!$T$189:$T$191,'Div 3'!$T$193:$T$197,'Div 3'!$T$199:$T$200,'Div 3'!$T$202:$T$208,'Div 3'!$T$210:$T$211,'Div 3'!$T$213,'Div 3'!$T$215:$T$217,'Div 3'!$T$219</definedName>
    <definedName name="OSRRefT22x_0" localSheetId="70">'Div 4'!$T$28:$T$36,'Div 4'!$T$38:$T$43,'Div 4'!$T$45,'Div 4'!$T$47,'Div 4'!$T$49,'Div 4'!$T$51:$T$52,'Div 4'!$T$54,'Div 4'!$T$56,'Div 4'!$T$58,'Div 4'!$T$60,'Div 4'!$T$62,'Div 4'!$T$64,'Div 4'!$T$66,'Div 4'!$T$68,'Div 4'!$T$70,'Div 4'!$T$72:$T$74,'Div 4'!$T$76,'Div 4'!$T$78:$T$81,'Div 4'!$T$83:$T$84,'Div 4'!$T$86:$T$94,'Div 4'!$T$96,'Div 4'!$T$98,'Div 4'!$T$100:$T$101,'Div 4'!$T$103</definedName>
    <definedName name="OSRRefT22x_0" localSheetId="92">'Div 5'!$T$21:$T$29,'Div 5'!$T$31:$T$36,'Div 5'!$T$38,'Div 5'!$T$40,'Div 5'!$T$42:$T$43,'Div 5'!$T$45,'Div 5'!$T$47,'Div 5'!$T$49:$T$51,'Div 5'!$T$53:$T$54,'Div 5'!$T$56,'Div 5'!$T$58</definedName>
    <definedName name="OSRRefT22x_0" localSheetId="61">'Div 6'!$T$54:$T$62,'Div 6'!$T$64:$T$68,'Div 6'!$T$70,'Div 6'!$T$72,'Div 6'!$T$74,'Div 6'!$T$76:$T$77,'Div 6'!$T$79,'Div 6'!$T$81,'Div 6'!$T$83:$T$85,'Div 6'!$T$87,'Div 6'!$T$89</definedName>
    <definedName name="OSRRefT22x_0" localSheetId="2">Summary!$T$157:$T$166,Summary!$T$168:$T$174,Summary!$T$176,Summary!$T$178:$T$179,Summary!$T$181,Summary!$T$183:$T$184,Summary!$T$186:$T$187,Summary!$T$189,Summary!$T$191,Summary!$T$193,Summary!$T$195:$T$196,Summary!$T$198,Summary!$T$200,Summary!$T$202,Summary!$T$204:$T$205,Summary!$T$207,Summary!$T$209,Summary!$T$211,Summary!$T$213:$T$216,Summary!$T$218:$T$220,Summary!$T$222:$T$226,Summary!$T$228:$T$229,Summary!$T$231:$T$239,Summary!$T$241:$T$242,Summary!$T$244,Summary!$T$246:$T$248,Summary!$T$250</definedName>
    <definedName name="OSRRefT25x_0" localSheetId="48">'300'!$T$214:$T$217</definedName>
    <definedName name="OSRRefT25x_0" localSheetId="49">'300 &amp; 317'!$T$237:$T$242</definedName>
    <definedName name="OSRRefT25x_0" localSheetId="50">'301'!$T$97</definedName>
    <definedName name="OSRRefT25x_0" localSheetId="51">'308'!$T$111:$T$113</definedName>
    <definedName name="OSRRefT25x_0" localSheetId="71">'310 &amp; 491'!$T$108:$T$110</definedName>
    <definedName name="OSRRefT25x_0" localSheetId="52">'311'!$T$111:$T$113</definedName>
    <definedName name="OSRRefT25x_0" localSheetId="57">'315'!$T$139:$T$140</definedName>
    <definedName name="OSRRefT25x_0" localSheetId="60">'316'!$T$76</definedName>
    <definedName name="OSRRefT25x_0" localSheetId="62">'317'!$T$92:$T$94</definedName>
    <definedName name="OSRRefT25x_0" localSheetId="56">'331'!$T$157:$T$158</definedName>
    <definedName name="OSRRefT25x_0" localSheetId="59">'332'!$T$78:$T$79</definedName>
    <definedName name="OSRRefT25x_0" localSheetId="54">'333'!$T$162:$T$163</definedName>
    <definedName name="OSRRefT25x_0" localSheetId="73">'405'!$T$79</definedName>
    <definedName name="OSRRefT25x_0" localSheetId="75">'411'!$T$69:$T$70</definedName>
    <definedName name="OSRRefT25x_0" localSheetId="79">'415'!$T$81</definedName>
    <definedName name="OSRRefT25x_0" localSheetId="80">'418'!$T$64</definedName>
    <definedName name="OSRRefT25x_0" localSheetId="82">'423'!$T$30</definedName>
    <definedName name="OSRRefT25x_0" localSheetId="85">'455'!$T$21:$T$22</definedName>
    <definedName name="OSRRefT25x_0" localSheetId="72">'491'!$T$98:$T$100</definedName>
    <definedName name="OSRRefT25x_0" localSheetId="93">'501'!$T$61</definedName>
    <definedName name="OSRRefT25x_0" localSheetId="47">'Div 3'!$T$222:$T$225</definedName>
    <definedName name="OSRRefT25x_0" localSheetId="70">'Div 4'!$T$106:$T$108</definedName>
    <definedName name="OSRRefT25x_0" localSheetId="92">'Div 5'!$T$61</definedName>
    <definedName name="OSRRefT25x_0" localSheetId="61">'Div 6'!$T$92:$T$94</definedName>
    <definedName name="OSRRefT25x_0" localSheetId="2">Summary!$T$253:$T$260</definedName>
    <definedName name="_xlnm.Print_Area" localSheetId="38">'100'!$A$1:$Z$34</definedName>
    <definedName name="_xlnm.Print_Area" localSheetId="40">'200'!$A$1:$Z$40</definedName>
    <definedName name="_xlnm.Print_Area" localSheetId="41">'201'!$A$1:$Z$75</definedName>
    <definedName name="_xlnm.Print_Area" localSheetId="42">'202'!$A$1:$Z$71</definedName>
    <definedName name="_xlnm.Print_Area" localSheetId="43">'203'!$A$1:$Z$78</definedName>
    <definedName name="_xlnm.Print_Area" localSheetId="44">'204'!$A$1:$Z$66</definedName>
    <definedName name="_xlnm.Print_Area" localSheetId="45">'205'!$A$1:$Z$56</definedName>
    <definedName name="_xlnm.Print_Area" localSheetId="46">'206'!$A$1:$Z$55</definedName>
    <definedName name="_xlnm.Print_Area" localSheetId="48">'300'!$A$1:$Z$229</definedName>
    <definedName name="_xlnm.Print_Area" localSheetId="49">'300 &amp; 317'!$A$1:$Z$254</definedName>
    <definedName name="_xlnm.Print_Area" localSheetId="50">'301'!$A$1:$Z$109</definedName>
    <definedName name="_xlnm.Print_Area" localSheetId="55">'307'!$A$1:$Z$92</definedName>
    <definedName name="_xlnm.Print_Area" localSheetId="51">'308'!$A$1:$Z$125</definedName>
    <definedName name="_xlnm.Print_Area" localSheetId="64">'309'!$A$1:$Z$54</definedName>
    <definedName name="_xlnm.Print_Area" localSheetId="63">'310'!$A$1:$Z$98</definedName>
    <definedName name="_xlnm.Print_Area" localSheetId="71">'310 &amp; 491'!$A$1:$Z$122</definedName>
    <definedName name="_xlnm.Print_Area" localSheetId="52">'311'!$A$1:$Z$125</definedName>
    <definedName name="_xlnm.Print_Area" localSheetId="65">'313'!$A$1:$Z$60</definedName>
    <definedName name="_xlnm.Print_Area" localSheetId="57">'315'!$A$1:$Z$152</definedName>
    <definedName name="_xlnm.Print_Area" localSheetId="60">'316'!$A$1:$Z$88</definedName>
    <definedName name="_xlnm.Print_Area" localSheetId="62">'317'!$A$1:$Z$106</definedName>
    <definedName name="_xlnm.Print_Area" localSheetId="66">'321'!$A$1:$Z$77</definedName>
    <definedName name="_xlnm.Print_Area" localSheetId="67">'322'!$A$1:$Z$54</definedName>
    <definedName name="_xlnm.Print_Area" localSheetId="53">'324'!$A$1:$Z$39</definedName>
    <definedName name="_xlnm.Print_Area" localSheetId="68">'325'!$A$1:$Z$84</definedName>
    <definedName name="_xlnm.Print_Area" localSheetId="58">'326'!$A$1:$Z$118</definedName>
    <definedName name="_xlnm.Print_Area" localSheetId="69">'327'!$A$1:$Z$40</definedName>
    <definedName name="_xlnm.Print_Area" localSheetId="56">'331'!$A$1:$Z$170</definedName>
    <definedName name="_xlnm.Print_Area" localSheetId="59">'332'!$A$1:$Z$91</definedName>
    <definedName name="_xlnm.Print_Area" localSheetId="54">'333'!$A$1:$Z$175</definedName>
    <definedName name="_xlnm.Print_Area" localSheetId="73">'405'!$A$1:$Z$91</definedName>
    <definedName name="_xlnm.Print_Area" localSheetId="74">'406'!$A$1:$Z$42</definedName>
    <definedName name="_xlnm.Print_Area" localSheetId="75">'411'!$A$1:$Z$82</definedName>
    <definedName name="_xlnm.Print_Area" localSheetId="76">'412'!$A$1:$Z$43</definedName>
    <definedName name="_xlnm.Print_Area" localSheetId="77">'413'!$A$1:$Z$48</definedName>
    <definedName name="_xlnm.Print_Area" localSheetId="78">'414'!$A$1:$Z$44</definedName>
    <definedName name="_xlnm.Print_Area" localSheetId="79">'415'!$A$1:$Z$93</definedName>
    <definedName name="_xlnm.Print_Area" localSheetId="80">'418'!$A$1:$Z$76</definedName>
    <definedName name="_xlnm.Print_Area" localSheetId="81">'420'!$A$1:$Z$35</definedName>
    <definedName name="_xlnm.Print_Area" localSheetId="82">'423'!$A$1:$Z$42</definedName>
    <definedName name="_xlnm.Print_Area" localSheetId="83">'424'!$A$1:$Z$40</definedName>
    <definedName name="_xlnm.Print_Area" localSheetId="84">'425'!$A$1:$Z$57</definedName>
    <definedName name="_xlnm.Print_Area" localSheetId="87">'430'!$A$1:$Z$58</definedName>
    <definedName name="_xlnm.Print_Area" localSheetId="88">'433'!$A$1:$Z$89</definedName>
    <definedName name="_xlnm.Print_Area" localSheetId="89">'435'!$A$1:$Z$36</definedName>
    <definedName name="_xlnm.Print_Area" localSheetId="90">'444'!$A$1:$Z$94</definedName>
    <definedName name="_xlnm.Print_Area" localSheetId="91">'450'!$A$1:$Z$91</definedName>
    <definedName name="_xlnm.Print_Area" localSheetId="85">'455'!$A$1:$Z$34</definedName>
    <definedName name="_xlnm.Print_Area" localSheetId="72">'491'!$A$1:$Z$112</definedName>
    <definedName name="_xlnm.Print_Area" localSheetId="86">'492'!$A$1:$Z$101</definedName>
    <definedName name="_xlnm.Print_Area" localSheetId="93">'501'!$A$1:$Z$73</definedName>
    <definedName name="_xlnm.Print_Area" localSheetId="94">Dept!$A$1:$Z$39</definedName>
    <definedName name="_xlnm.Print_Area" localSheetId="5">'Div 1'!$A$1:$Z$34</definedName>
    <definedName name="_xlnm.Print_Area" localSheetId="39">'Div 2'!$A$1:$Z$99</definedName>
    <definedName name="_xlnm.Print_Area" localSheetId="47">'Div 3'!$A$1:$Z$237</definedName>
    <definedName name="_xlnm.Print_Area" localSheetId="70">'Div 4'!$A$1:$Z$120</definedName>
    <definedName name="_xlnm.Print_Area" localSheetId="92">'Div 5'!$A$1:$Z$73</definedName>
    <definedName name="_xlnm.Print_Area" localSheetId="61">'Div 6'!$A$1:$Z$106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Summary!$A$1:$Z$274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5">'307'!$A:$C,'307'!$1:$10</definedName>
    <definedName name="_xlnm.Print_Titles" localSheetId="51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2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3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54">'333'!$A:$C,'333'!$1:$10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8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0">'OSR_330 (2)_...8a14c83e_1NSH7XI'!$A:$C,'OSR_330 (2)_...8a14c83e_1NSH7XI'!$1:$10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X33" i="100" s="1"/>
  <c r="H33" i="100"/>
  <c r="D33" i="100"/>
  <c r="T29" i="100"/>
  <c r="Z29" i="100" s="1"/>
  <c r="P29" i="100"/>
  <c r="H29" i="100"/>
  <c r="D29" i="100"/>
  <c r="T25" i="100"/>
  <c r="Z25" i="100" s="1"/>
  <c r="P25" i="100"/>
  <c r="H25" i="100"/>
  <c r="D25" i="100"/>
  <c r="B25" i="100"/>
  <c r="T24" i="100"/>
  <c r="Z24" i="100" s="1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D15" i="100"/>
  <c r="T13" i="100"/>
  <c r="Z13" i="100" s="1"/>
  <c r="P13" i="100"/>
  <c r="H13" i="100"/>
  <c r="N13" i="100" s="1"/>
  <c r="D13" i="100"/>
  <c r="B13" i="100"/>
  <c r="T12" i="100"/>
  <c r="V24" i="100" s="1"/>
  <c r="P12" i="100"/>
  <c r="R20" i="100" s="1"/>
  <c r="H12" i="100"/>
  <c r="J36" i="100" s="1"/>
  <c r="D12" i="100"/>
  <c r="D6" i="100"/>
  <c r="D5" i="100"/>
  <c r="D4" i="100"/>
  <c r="B39" i="99"/>
  <c r="B38" i="99"/>
  <c r="T34" i="99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V33" i="99" s="1"/>
  <c r="P12" i="99"/>
  <c r="R34" i="99" s="1"/>
  <c r="H12" i="99"/>
  <c r="D12" i="99"/>
  <c r="F20" i="99" s="1"/>
  <c r="D6" i="99"/>
  <c r="D5" i="99"/>
  <c r="D4" i="99"/>
  <c r="B39" i="98"/>
  <c r="B38" i="98"/>
  <c r="T34" i="98"/>
  <c r="Z34" i="98" s="1"/>
  <c r="P34" i="98"/>
  <c r="H34" i="98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L21" i="98" s="1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18" i="98" s="1"/>
  <c r="P12" i="98"/>
  <c r="R34" i="98" s="1"/>
  <c r="H12" i="98"/>
  <c r="J20" i="98" s="1"/>
  <c r="D12" i="98"/>
  <c r="F22" i="98" s="1"/>
  <c r="D6" i="98"/>
  <c r="D5" i="98"/>
  <c r="D4" i="98"/>
  <c r="Z65" i="97"/>
  <c r="X65" i="97"/>
  <c r="L65" i="97"/>
  <c r="N65" i="97" s="1"/>
  <c r="T61" i="97"/>
  <c r="P61" i="97"/>
  <c r="P60" i="97" s="1"/>
  <c r="H61" i="97"/>
  <c r="D61" i="97"/>
  <c r="B61" i="97"/>
  <c r="Z58" i="97"/>
  <c r="X58" i="97"/>
  <c r="N58" i="97"/>
  <c r="L58" i="97"/>
  <c r="B58" i="97"/>
  <c r="T57" i="97"/>
  <c r="P57" i="97"/>
  <c r="H57" i="97"/>
  <c r="N57" i="97" s="1"/>
  <c r="D57" i="97"/>
  <c r="L57" i="97" s="1"/>
  <c r="B57" i="97"/>
  <c r="X56" i="97"/>
  <c r="Z56" i="97" s="1"/>
  <c r="N56" i="97"/>
  <c r="L56" i="97"/>
  <c r="B56" i="97"/>
  <c r="T55" i="97"/>
  <c r="R55" i="97"/>
  <c r="P55" i="97"/>
  <c r="X55" i="97" s="1"/>
  <c r="H55" i="97"/>
  <c r="D55" i="97"/>
  <c r="B55" i="97"/>
  <c r="Z54" i="97"/>
  <c r="X54" i="97"/>
  <c r="N54" i="97"/>
  <c r="L54" i="97"/>
  <c r="B54" i="97"/>
  <c r="Z53" i="97"/>
  <c r="X53" i="97"/>
  <c r="L53" i="97"/>
  <c r="N53" i="97" s="1"/>
  <c r="B53" i="97"/>
  <c r="T52" i="97"/>
  <c r="P52" i="97"/>
  <c r="X52" i="97" s="1"/>
  <c r="Z52" i="97" s="1"/>
  <c r="N52" i="97"/>
  <c r="L52" i="97"/>
  <c r="H52" i="97"/>
  <c r="D52" i="97"/>
  <c r="B52" i="97"/>
  <c r="X51" i="97"/>
  <c r="Z51" i="97" s="1"/>
  <c r="N51" i="97"/>
  <c r="L51" i="97"/>
  <c r="B51" i="97"/>
  <c r="Z50" i="97"/>
  <c r="X50" i="97"/>
  <c r="N50" i="97"/>
  <c r="L50" i="97"/>
  <c r="J50" i="97"/>
  <c r="B50" i="97"/>
  <c r="Z49" i="97"/>
  <c r="X49" i="97"/>
  <c r="N49" i="97"/>
  <c r="L49" i="97"/>
  <c r="B49" i="97"/>
  <c r="T48" i="97"/>
  <c r="P48" i="97"/>
  <c r="X48" i="97" s="1"/>
  <c r="Z48" i="97" s="1"/>
  <c r="N48" i="97"/>
  <c r="L48" i="97"/>
  <c r="H48" i="97"/>
  <c r="D48" i="97"/>
  <c r="B48" i="97"/>
  <c r="X47" i="97"/>
  <c r="Z47" i="97" s="1"/>
  <c r="L47" i="97"/>
  <c r="N47" i="97" s="1"/>
  <c r="B47" i="97"/>
  <c r="Z46" i="97"/>
  <c r="X46" i="97"/>
  <c r="T46" i="97"/>
  <c r="P46" i="97"/>
  <c r="H46" i="97"/>
  <c r="L46" i="97" s="1"/>
  <c r="N46" i="97" s="1"/>
  <c r="D46" i="97"/>
  <c r="B46" i="97"/>
  <c r="X45" i="97"/>
  <c r="Z45" i="97" s="1"/>
  <c r="N45" i="97"/>
  <c r="L45" i="97"/>
  <c r="B45" i="97"/>
  <c r="T44" i="97"/>
  <c r="P44" i="97"/>
  <c r="H44" i="97"/>
  <c r="N44" i="97" s="1"/>
  <c r="D44" i="97"/>
  <c r="L44" i="97" s="1"/>
  <c r="B44" i="97"/>
  <c r="X43" i="97"/>
  <c r="Z43" i="97" s="1"/>
  <c r="N43" i="97"/>
  <c r="L43" i="97"/>
  <c r="B43" i="97"/>
  <c r="Z42" i="97"/>
  <c r="X42" i="97"/>
  <c r="N42" i="97"/>
  <c r="L42" i="97"/>
  <c r="B42" i="97"/>
  <c r="T41" i="97"/>
  <c r="R41" i="97"/>
  <c r="P41" i="97"/>
  <c r="H41" i="97"/>
  <c r="N41" i="97" s="1"/>
  <c r="D41" i="97"/>
  <c r="B41" i="97"/>
  <c r="Z40" i="97"/>
  <c r="X40" i="97"/>
  <c r="L40" i="97"/>
  <c r="N40" i="97" s="1"/>
  <c r="B40" i="97"/>
  <c r="X39" i="97"/>
  <c r="T39" i="97"/>
  <c r="P39" i="97"/>
  <c r="H39" i="97"/>
  <c r="D39" i="97"/>
  <c r="B39" i="97"/>
  <c r="Z38" i="97"/>
  <c r="X38" i="97"/>
  <c r="N38" i="97"/>
  <c r="L38" i="97"/>
  <c r="B38" i="97"/>
  <c r="T37" i="97"/>
  <c r="Z37" i="97" s="1"/>
  <c r="P37" i="97"/>
  <c r="N37" i="97"/>
  <c r="L37" i="97"/>
  <c r="H37" i="97"/>
  <c r="D37" i="97"/>
  <c r="B37" i="97"/>
  <c r="X36" i="97"/>
  <c r="Z36" i="97" s="1"/>
  <c r="N36" i="97"/>
  <c r="L36" i="97"/>
  <c r="B36" i="97"/>
  <c r="Z35" i="97"/>
  <c r="X35" i="97"/>
  <c r="L35" i="97"/>
  <c r="N35" i="97" s="1"/>
  <c r="B35" i="97"/>
  <c r="X34" i="97"/>
  <c r="Z34" i="97" s="1"/>
  <c r="N34" i="97"/>
  <c r="L34" i="97"/>
  <c r="B34" i="97"/>
  <c r="Z33" i="97"/>
  <c r="X33" i="97"/>
  <c r="N33" i="97"/>
  <c r="L33" i="97"/>
  <c r="B33" i="97"/>
  <c r="Z32" i="97"/>
  <c r="X32" i="97"/>
  <c r="N32" i="97"/>
  <c r="L32" i="97"/>
  <c r="B32" i="97"/>
  <c r="X31" i="97"/>
  <c r="Z31" i="97" s="1"/>
  <c r="L31" i="97"/>
  <c r="N31" i="97" s="1"/>
  <c r="B31" i="97"/>
  <c r="T30" i="97"/>
  <c r="P30" i="97"/>
  <c r="X30" i="97" s="1"/>
  <c r="Z30" i="97" s="1"/>
  <c r="N30" i="97"/>
  <c r="H30" i="97"/>
  <c r="D30" i="97"/>
  <c r="L30" i="97" s="1"/>
  <c r="B30" i="97"/>
  <c r="Z29" i="97"/>
  <c r="X29" i="97"/>
  <c r="N29" i="97"/>
  <c r="L29" i="97"/>
  <c r="B29" i="97"/>
  <c r="Z28" i="97"/>
  <c r="X28" i="97"/>
  <c r="N28" i="97"/>
  <c r="L28" i="97"/>
  <c r="B28" i="97"/>
  <c r="X27" i="97"/>
  <c r="Z27" i="97" s="1"/>
  <c r="L27" i="97"/>
  <c r="N27" i="97" s="1"/>
  <c r="B27" i="97"/>
  <c r="X26" i="97"/>
  <c r="Z26" i="97" s="1"/>
  <c r="L26" i="97"/>
  <c r="N26" i="97" s="1"/>
  <c r="B26" i="97"/>
  <c r="Z25" i="97"/>
  <c r="X25" i="97"/>
  <c r="L25" i="97"/>
  <c r="N25" i="97" s="1"/>
  <c r="B25" i="97"/>
  <c r="Z24" i="97"/>
  <c r="X24" i="97"/>
  <c r="R24" i="97"/>
  <c r="N24" i="97"/>
  <c r="L24" i="97"/>
  <c r="B24" i="97"/>
  <c r="X23" i="97"/>
  <c r="Z23" i="97" s="1"/>
  <c r="R23" i="97"/>
  <c r="L23" i="97"/>
  <c r="N23" i="97" s="1"/>
  <c r="B23" i="97"/>
  <c r="X22" i="97"/>
  <c r="Z22" i="97" s="1"/>
  <c r="L22" i="97"/>
  <c r="N22" i="97" s="1"/>
  <c r="B22" i="97"/>
  <c r="Z21" i="97"/>
  <c r="X21" i="97"/>
  <c r="N21" i="97"/>
  <c r="L21" i="97"/>
  <c r="B21" i="97"/>
  <c r="T20" i="97"/>
  <c r="P20" i="97"/>
  <c r="X20" i="97" s="1"/>
  <c r="Z20" i="97" s="1"/>
  <c r="L20" i="97"/>
  <c r="N20" i="97" s="1"/>
  <c r="H20" i="97"/>
  <c r="D20" i="97"/>
  <c r="B20" i="97"/>
  <c r="T19" i="97"/>
  <c r="P19" i="97"/>
  <c r="X19" i="97" s="1"/>
  <c r="H19" i="97"/>
  <c r="D19" i="97"/>
  <c r="L19" i="97" s="1"/>
  <c r="T15" i="97"/>
  <c r="Z15" i="97" s="1"/>
  <c r="P15" i="97"/>
  <c r="X15" i="97" s="1"/>
  <c r="H15" i="97"/>
  <c r="N15" i="97" s="1"/>
  <c r="D15" i="97"/>
  <c r="L15" i="97" s="1"/>
  <c r="X13" i="97"/>
  <c r="T13" i="97"/>
  <c r="Z13" i="97" s="1"/>
  <c r="P13" i="97"/>
  <c r="P12" i="97" s="1"/>
  <c r="R45" i="97" s="1"/>
  <c r="H13" i="97"/>
  <c r="D13" i="97"/>
  <c r="B13" i="97"/>
  <c r="H12" i="97"/>
  <c r="D6" i="97"/>
  <c r="D4" i="97"/>
  <c r="V31" i="96"/>
  <c r="R31" i="96"/>
  <c r="F31" i="96"/>
  <c r="V28" i="96"/>
  <c r="R28" i="96"/>
  <c r="F28" i="96"/>
  <c r="Z26" i="96"/>
  <c r="X26" i="96"/>
  <c r="V26" i="96"/>
  <c r="R26" i="96"/>
  <c r="N26" i="96"/>
  <c r="L26" i="96"/>
  <c r="F26" i="96"/>
  <c r="V24" i="96"/>
  <c r="R24" i="96"/>
  <c r="F24" i="96"/>
  <c r="V22" i="96"/>
  <c r="T22" i="96"/>
  <c r="R22" i="96"/>
  <c r="P22" i="96"/>
  <c r="X22" i="96" s="1"/>
  <c r="Z22" i="96" s="1"/>
  <c r="L22" i="96"/>
  <c r="N22" i="96" s="1"/>
  <c r="H22" i="96"/>
  <c r="F22" i="96"/>
  <c r="D22" i="96"/>
  <c r="B22" i="96"/>
  <c r="V21" i="96"/>
  <c r="T21" i="96"/>
  <c r="P21" i="96"/>
  <c r="H21" i="96"/>
  <c r="N21" i="96" s="1"/>
  <c r="F21" i="96"/>
  <c r="D21" i="96"/>
  <c r="B21" i="96"/>
  <c r="R20" i="96"/>
  <c r="P20" i="96"/>
  <c r="F20" i="96"/>
  <c r="Z18" i="96"/>
  <c r="X18" i="96"/>
  <c r="V18" i="96"/>
  <c r="T18" i="96"/>
  <c r="R18" i="96"/>
  <c r="P18" i="96"/>
  <c r="H18" i="96"/>
  <c r="F18" i="96"/>
  <c r="D18" i="96"/>
  <c r="R16" i="96"/>
  <c r="P16" i="96"/>
  <c r="F16" i="96"/>
  <c r="Z14" i="96"/>
  <c r="X14" i="96"/>
  <c r="V14" i="96"/>
  <c r="T14" i="96"/>
  <c r="R14" i="96"/>
  <c r="P14" i="96"/>
  <c r="H14" i="96"/>
  <c r="F14" i="96"/>
  <c r="D14" i="96"/>
  <c r="Z12" i="96"/>
  <c r="X12" i="96"/>
  <c r="T12" i="96"/>
  <c r="V20" i="96" s="1"/>
  <c r="P12" i="96"/>
  <c r="R21" i="96" s="1"/>
  <c r="H12" i="96"/>
  <c r="D12" i="96"/>
  <c r="D16" i="96" s="1"/>
  <c r="D6" i="96"/>
  <c r="D4" i="96"/>
  <c r="Z83" i="95"/>
  <c r="X83" i="95"/>
  <c r="N83" i="95"/>
  <c r="L83" i="95"/>
  <c r="Z79" i="95"/>
  <c r="T79" i="95"/>
  <c r="X79" i="95" s="1"/>
  <c r="P79" i="95"/>
  <c r="N79" i="95"/>
  <c r="L79" i="95"/>
  <c r="H79" i="95"/>
  <c r="D79" i="95"/>
  <c r="Z77" i="95"/>
  <c r="X77" i="95"/>
  <c r="N77" i="95"/>
  <c r="L77" i="95"/>
  <c r="B77" i="95"/>
  <c r="X76" i="95"/>
  <c r="T76" i="95"/>
  <c r="Z76" i="95" s="1"/>
  <c r="P76" i="95"/>
  <c r="H76" i="95"/>
  <c r="N76" i="95" s="1"/>
  <c r="D76" i="95"/>
  <c r="L76" i="95" s="1"/>
  <c r="B76" i="95"/>
  <c r="Z75" i="95"/>
  <c r="X75" i="95"/>
  <c r="N75" i="95"/>
  <c r="L75" i="95"/>
  <c r="B75" i="95"/>
  <c r="T74" i="95"/>
  <c r="P74" i="95"/>
  <c r="X74" i="95" s="1"/>
  <c r="L74" i="95"/>
  <c r="H74" i="95"/>
  <c r="N74" i="95" s="1"/>
  <c r="D74" i="95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X67" i="95"/>
  <c r="Z67" i="95" s="1"/>
  <c r="T67" i="95"/>
  <c r="P67" i="95"/>
  <c r="H67" i="95"/>
  <c r="N67" i="95" s="1"/>
  <c r="D67" i="95"/>
  <c r="L67" i="95" s="1"/>
  <c r="B67" i="95"/>
  <c r="Z66" i="95"/>
  <c r="X66" i="95"/>
  <c r="N66" i="95"/>
  <c r="L66" i="95"/>
  <c r="B66" i="95"/>
  <c r="Z65" i="95"/>
  <c r="X65" i="95"/>
  <c r="N65" i="95"/>
  <c r="L65" i="95"/>
  <c r="B65" i="95"/>
  <c r="X64" i="95"/>
  <c r="Z64" i="95" s="1"/>
  <c r="L64" i="95"/>
  <c r="N64" i="95" s="1"/>
  <c r="B64" i="95"/>
  <c r="Z63" i="95"/>
  <c r="X63" i="95"/>
  <c r="T63" i="95"/>
  <c r="P63" i="95"/>
  <c r="H63" i="95"/>
  <c r="D63" i="95"/>
  <c r="L63" i="95" s="1"/>
  <c r="B63" i="95"/>
  <c r="Z62" i="95"/>
  <c r="X62" i="95"/>
  <c r="N62" i="95"/>
  <c r="L62" i="95"/>
  <c r="B62" i="95"/>
  <c r="Z61" i="95"/>
  <c r="X61" i="95"/>
  <c r="N61" i="95"/>
  <c r="L61" i="95"/>
  <c r="B61" i="95"/>
  <c r="X60" i="95"/>
  <c r="T60" i="95"/>
  <c r="P60" i="95"/>
  <c r="H60" i="95"/>
  <c r="N60" i="95" s="1"/>
  <c r="D60" i="95"/>
  <c r="L60" i="95" s="1"/>
  <c r="B60" i="95"/>
  <c r="Z59" i="95"/>
  <c r="X59" i="95"/>
  <c r="N59" i="95"/>
  <c r="L59" i="95"/>
  <c r="B59" i="95"/>
  <c r="Z58" i="95"/>
  <c r="T58" i="95"/>
  <c r="P58" i="95"/>
  <c r="H58" i="95"/>
  <c r="N58" i="95" s="1"/>
  <c r="D58" i="95"/>
  <c r="L58" i="95" s="1"/>
  <c r="B58" i="95"/>
  <c r="Z57" i="95"/>
  <c r="X57" i="95"/>
  <c r="N57" i="95"/>
  <c r="L57" i="95"/>
  <c r="B57" i="95"/>
  <c r="X56" i="95"/>
  <c r="T56" i="95"/>
  <c r="P56" i="95"/>
  <c r="H56" i="95"/>
  <c r="D56" i="95"/>
  <c r="B56" i="95"/>
  <c r="Z55" i="95"/>
  <c r="X55" i="95"/>
  <c r="N55" i="95"/>
  <c r="L55" i="95"/>
  <c r="B55" i="95"/>
  <c r="Z54" i="95"/>
  <c r="X54" i="95"/>
  <c r="T54" i="95"/>
  <c r="P54" i="95"/>
  <c r="H54" i="95"/>
  <c r="N54" i="95" s="1"/>
  <c r="D54" i="95"/>
  <c r="L54" i="95" s="1"/>
  <c r="B54" i="95"/>
  <c r="Z53" i="95"/>
  <c r="X53" i="95"/>
  <c r="N53" i="95"/>
  <c r="L53" i="95"/>
  <c r="B53" i="95"/>
  <c r="T52" i="95"/>
  <c r="P52" i="95"/>
  <c r="N52" i="95"/>
  <c r="L52" i="95"/>
  <c r="H52" i="95"/>
  <c r="D52" i="95"/>
  <c r="B52" i="95"/>
  <c r="Z51" i="95"/>
  <c r="X51" i="95"/>
  <c r="N51" i="95"/>
  <c r="L51" i="95"/>
  <c r="B51" i="95"/>
  <c r="X50" i="95"/>
  <c r="T50" i="95"/>
  <c r="Z50" i="95" s="1"/>
  <c r="P50" i="95"/>
  <c r="L50" i="95"/>
  <c r="H50" i="95"/>
  <c r="N50" i="95" s="1"/>
  <c r="D50" i="95"/>
  <c r="B50" i="95"/>
  <c r="Z49" i="95"/>
  <c r="X49" i="95"/>
  <c r="N49" i="95"/>
  <c r="L49" i="95"/>
  <c r="B49" i="95"/>
  <c r="X48" i="95"/>
  <c r="T48" i="95"/>
  <c r="Z48" i="95" s="1"/>
  <c r="P48" i="95"/>
  <c r="H48" i="95"/>
  <c r="N48" i="95" s="1"/>
  <c r="D48" i="95"/>
  <c r="L48" i="95" s="1"/>
  <c r="B48" i="95"/>
  <c r="Z47" i="95"/>
  <c r="X47" i="95"/>
  <c r="L47" i="95"/>
  <c r="N47" i="95" s="1"/>
  <c r="B47" i="95"/>
  <c r="Z46" i="95"/>
  <c r="X46" i="95"/>
  <c r="T46" i="95"/>
  <c r="P46" i="95"/>
  <c r="L46" i="95"/>
  <c r="J46" i="95"/>
  <c r="H46" i="95"/>
  <c r="D46" i="95"/>
  <c r="B46" i="95"/>
  <c r="Z45" i="95"/>
  <c r="X45" i="95"/>
  <c r="R45" i="95"/>
  <c r="N45" i="95"/>
  <c r="L45" i="95"/>
  <c r="B45" i="95"/>
  <c r="T44" i="95"/>
  <c r="Z44" i="95" s="1"/>
  <c r="P44" i="95"/>
  <c r="X44" i="95" s="1"/>
  <c r="N44" i="95"/>
  <c r="L44" i="95"/>
  <c r="H44" i="95"/>
  <c r="D44" i="95"/>
  <c r="B44" i="95"/>
  <c r="X43" i="95"/>
  <c r="Z43" i="95" s="1"/>
  <c r="N43" i="95"/>
  <c r="L43" i="95"/>
  <c r="B43" i="95"/>
  <c r="T42" i="95"/>
  <c r="P42" i="95"/>
  <c r="L42" i="95"/>
  <c r="H42" i="95"/>
  <c r="N42" i="95" s="1"/>
  <c r="D42" i="95"/>
  <c r="B42" i="95"/>
  <c r="Z41" i="95"/>
  <c r="X41" i="95"/>
  <c r="N41" i="95"/>
  <c r="L41" i="95"/>
  <c r="B41" i="95"/>
  <c r="X40" i="95"/>
  <c r="T40" i="95"/>
  <c r="Z40" i="95" s="1"/>
  <c r="P40" i="95"/>
  <c r="H40" i="95"/>
  <c r="N40" i="95" s="1"/>
  <c r="D40" i="95"/>
  <c r="L40" i="95" s="1"/>
  <c r="B40" i="95"/>
  <c r="Z39" i="95"/>
  <c r="X39" i="95"/>
  <c r="N39" i="95"/>
  <c r="L39" i="95"/>
  <c r="B39" i="95"/>
  <c r="Z38" i="95"/>
  <c r="X38" i="95"/>
  <c r="N38" i="95"/>
  <c r="L38" i="95"/>
  <c r="J38" i="95"/>
  <c r="B38" i="95"/>
  <c r="Z37" i="95"/>
  <c r="X37" i="95"/>
  <c r="N37" i="95"/>
  <c r="L37" i="95"/>
  <c r="B37" i="95"/>
  <c r="X36" i="95"/>
  <c r="Z36" i="95" s="1"/>
  <c r="N36" i="95"/>
  <c r="L36" i="95"/>
  <c r="B36" i="95"/>
  <c r="Z35" i="95"/>
  <c r="X35" i="95"/>
  <c r="R35" i="95"/>
  <c r="N35" i="95"/>
  <c r="L35" i="95"/>
  <c r="B35" i="95"/>
  <c r="Z34" i="95"/>
  <c r="X34" i="95"/>
  <c r="T34" i="95"/>
  <c r="P34" i="95"/>
  <c r="L34" i="95"/>
  <c r="H34" i="95"/>
  <c r="N34" i="95" s="1"/>
  <c r="F34" i="95"/>
  <c r="D34" i="95"/>
  <c r="B34" i="95"/>
  <c r="X33" i="95"/>
  <c r="Z33" i="95" s="1"/>
  <c r="N33" i="95"/>
  <c r="L33" i="95"/>
  <c r="B33" i="95"/>
  <c r="X32" i="95"/>
  <c r="Z32" i="95" s="1"/>
  <c r="N32" i="95"/>
  <c r="L32" i="95"/>
  <c r="B32" i="95"/>
  <c r="X31" i="95"/>
  <c r="Z31" i="95" s="1"/>
  <c r="R31" i="95"/>
  <c r="N31" i="95"/>
  <c r="L31" i="95"/>
  <c r="B31" i="95"/>
  <c r="Z30" i="95"/>
  <c r="X30" i="95"/>
  <c r="N30" i="95"/>
  <c r="L30" i="95"/>
  <c r="B30" i="95"/>
  <c r="X29" i="95"/>
  <c r="Z29" i="95" s="1"/>
  <c r="N29" i="95"/>
  <c r="L29" i="95"/>
  <c r="B29" i="95"/>
  <c r="Z28" i="95"/>
  <c r="X28" i="95"/>
  <c r="L28" i="95"/>
  <c r="N28" i="95" s="1"/>
  <c r="J28" i="95"/>
  <c r="B28" i="95"/>
  <c r="Z27" i="95"/>
  <c r="X27" i="95"/>
  <c r="N27" i="95"/>
  <c r="L27" i="95"/>
  <c r="F27" i="95"/>
  <c r="B27" i="95"/>
  <c r="Z26" i="95"/>
  <c r="X26" i="95"/>
  <c r="N26" i="95"/>
  <c r="L26" i="95"/>
  <c r="B26" i="95"/>
  <c r="Z25" i="95"/>
  <c r="X25" i="95"/>
  <c r="L25" i="95"/>
  <c r="N25" i="95" s="1"/>
  <c r="B25" i="95"/>
  <c r="X24" i="95"/>
  <c r="T24" i="95"/>
  <c r="Z24" i="95" s="1"/>
  <c r="R24" i="95"/>
  <c r="P24" i="95"/>
  <c r="H24" i="95"/>
  <c r="D24" i="95"/>
  <c r="L24" i="95" s="1"/>
  <c r="B24" i="95"/>
  <c r="T23" i="95"/>
  <c r="P23" i="95"/>
  <c r="L23" i="95"/>
  <c r="N23" i="95" s="1"/>
  <c r="H23" i="95"/>
  <c r="D23" i="95"/>
  <c r="H21" i="95"/>
  <c r="Z19" i="95"/>
  <c r="X19" i="95"/>
  <c r="N19" i="95"/>
  <c r="L19" i="95"/>
  <c r="F19" i="95"/>
  <c r="B19" i="95"/>
  <c r="Z18" i="95"/>
  <c r="X18" i="95"/>
  <c r="N18" i="95"/>
  <c r="L18" i="95"/>
  <c r="B18" i="95"/>
  <c r="T17" i="95"/>
  <c r="Z17" i="95" s="1"/>
  <c r="P17" i="95"/>
  <c r="N17" i="95"/>
  <c r="H17" i="95"/>
  <c r="F17" i="95"/>
  <c r="D17" i="95"/>
  <c r="L17" i="95" s="1"/>
  <c r="Z15" i="95"/>
  <c r="X15" i="95"/>
  <c r="T15" i="95"/>
  <c r="P15" i="95"/>
  <c r="H15" i="95"/>
  <c r="N15" i="95" s="1"/>
  <c r="D15" i="95"/>
  <c r="L15" i="95" s="1"/>
  <c r="B15" i="95"/>
  <c r="Z14" i="95"/>
  <c r="T14" i="95"/>
  <c r="T12" i="95" s="1"/>
  <c r="P14" i="95"/>
  <c r="L14" i="95"/>
  <c r="H14" i="95"/>
  <c r="N14" i="95" s="1"/>
  <c r="D14" i="95"/>
  <c r="B14" i="95"/>
  <c r="Z13" i="95"/>
  <c r="X13" i="95"/>
  <c r="T13" i="95"/>
  <c r="P13" i="95"/>
  <c r="N13" i="95"/>
  <c r="H13" i="95"/>
  <c r="D13" i="95"/>
  <c r="D12" i="95" s="1"/>
  <c r="B13" i="95"/>
  <c r="P12" i="95"/>
  <c r="R53" i="95" s="1"/>
  <c r="N12" i="95"/>
  <c r="H12" i="95"/>
  <c r="D6" i="95"/>
  <c r="D4" i="95"/>
  <c r="X86" i="94"/>
  <c r="Z86" i="94" s="1"/>
  <c r="N86" i="94"/>
  <c r="L86" i="94"/>
  <c r="Z82" i="94"/>
  <c r="T82" i="94"/>
  <c r="P82" i="94"/>
  <c r="X82" i="94" s="1"/>
  <c r="N82" i="94"/>
  <c r="L82" i="94"/>
  <c r="H82" i="94"/>
  <c r="D82" i="94"/>
  <c r="X80" i="94"/>
  <c r="Z80" i="94" s="1"/>
  <c r="N80" i="94"/>
  <c r="L80" i="94"/>
  <c r="B80" i="94"/>
  <c r="T79" i="94"/>
  <c r="P79" i="94"/>
  <c r="H79" i="94"/>
  <c r="N79" i="94" s="1"/>
  <c r="D79" i="94"/>
  <c r="B79" i="94"/>
  <c r="Z78" i="94"/>
  <c r="X78" i="94"/>
  <c r="N78" i="94"/>
  <c r="L78" i="94"/>
  <c r="B78" i="94"/>
  <c r="T77" i="94"/>
  <c r="P77" i="94"/>
  <c r="X77" i="94" s="1"/>
  <c r="H77" i="94"/>
  <c r="D77" i="94"/>
  <c r="L77" i="94" s="1"/>
  <c r="N77" i="94" s="1"/>
  <c r="B77" i="94"/>
  <c r="Z76" i="94"/>
  <c r="X76" i="94"/>
  <c r="N76" i="94"/>
  <c r="L76" i="94"/>
  <c r="B76" i="94"/>
  <c r="Z75" i="94"/>
  <c r="X75" i="94"/>
  <c r="N75" i="94"/>
  <c r="L75" i="94"/>
  <c r="B75" i="94"/>
  <c r="Z74" i="94"/>
  <c r="X74" i="94"/>
  <c r="N74" i="94"/>
  <c r="L74" i="94"/>
  <c r="B74" i="94"/>
  <c r="X73" i="94"/>
  <c r="Z73" i="94" s="1"/>
  <c r="L73" i="94"/>
  <c r="N73" i="94" s="1"/>
  <c r="B73" i="94"/>
  <c r="X72" i="94"/>
  <c r="Z72" i="94" s="1"/>
  <c r="N72" i="94"/>
  <c r="L72" i="94"/>
  <c r="B72" i="94"/>
  <c r="Z71" i="94"/>
  <c r="X71" i="94"/>
  <c r="N71" i="94"/>
  <c r="L71" i="94"/>
  <c r="B71" i="94"/>
  <c r="Z70" i="94"/>
  <c r="X70" i="94"/>
  <c r="N70" i="94"/>
  <c r="L70" i="94"/>
  <c r="B70" i="94"/>
  <c r="Z69" i="94"/>
  <c r="X69" i="94"/>
  <c r="N69" i="94"/>
  <c r="L69" i="94"/>
  <c r="B69" i="94"/>
  <c r="Z68" i="94"/>
  <c r="T68" i="94"/>
  <c r="P68" i="94"/>
  <c r="X68" i="94" s="1"/>
  <c r="N68" i="94"/>
  <c r="L68" i="94"/>
  <c r="H68" i="94"/>
  <c r="D68" i="94"/>
  <c r="B68" i="94"/>
  <c r="X67" i="94"/>
  <c r="Z67" i="94" s="1"/>
  <c r="N67" i="94"/>
  <c r="L67" i="94"/>
  <c r="B67" i="94"/>
  <c r="Z66" i="94"/>
  <c r="X66" i="94"/>
  <c r="T66" i="94"/>
  <c r="P66" i="94"/>
  <c r="L66" i="94"/>
  <c r="H66" i="94"/>
  <c r="N66" i="94" s="1"/>
  <c r="D66" i="94"/>
  <c r="B66" i="94"/>
  <c r="X65" i="94"/>
  <c r="Z65" i="94" s="1"/>
  <c r="L65" i="94"/>
  <c r="N65" i="94" s="1"/>
  <c r="B65" i="94"/>
  <c r="X64" i="94"/>
  <c r="Z64" i="94" s="1"/>
  <c r="N64" i="94"/>
  <c r="L64" i="94"/>
  <c r="B64" i="94"/>
  <c r="Z63" i="94"/>
  <c r="X63" i="94"/>
  <c r="N63" i="94"/>
  <c r="L63" i="94"/>
  <c r="B63" i="94"/>
  <c r="Z62" i="94"/>
  <c r="X62" i="94"/>
  <c r="N62" i="94"/>
  <c r="L62" i="94"/>
  <c r="B62" i="94"/>
  <c r="X61" i="94"/>
  <c r="Z61" i="94" s="1"/>
  <c r="T61" i="94"/>
  <c r="P61" i="94"/>
  <c r="H61" i="94"/>
  <c r="D61" i="94"/>
  <c r="B61" i="94"/>
  <c r="X60" i="94"/>
  <c r="Z60" i="94" s="1"/>
  <c r="N60" i="94"/>
  <c r="L60" i="94"/>
  <c r="B60" i="94"/>
  <c r="Z59" i="94"/>
  <c r="X59" i="94"/>
  <c r="N59" i="94"/>
  <c r="L59" i="94"/>
  <c r="B59" i="94"/>
  <c r="Z58" i="94"/>
  <c r="X58" i="94"/>
  <c r="T58" i="94"/>
  <c r="P58" i="94"/>
  <c r="H58" i="94"/>
  <c r="D58" i="94"/>
  <c r="B58" i="94"/>
  <c r="X57" i="94"/>
  <c r="Z57" i="94" s="1"/>
  <c r="L57" i="94"/>
  <c r="N57" i="94" s="1"/>
  <c r="B57" i="94"/>
  <c r="T56" i="94"/>
  <c r="P56" i="94"/>
  <c r="H56" i="94"/>
  <c r="D56" i="94"/>
  <c r="L56" i="94" s="1"/>
  <c r="B56" i="94"/>
  <c r="Z55" i="94"/>
  <c r="X55" i="94"/>
  <c r="N55" i="94"/>
  <c r="L55" i="94"/>
  <c r="B55" i="94"/>
  <c r="T54" i="94"/>
  <c r="P54" i="94"/>
  <c r="X54" i="94" s="1"/>
  <c r="N54" i="94"/>
  <c r="H54" i="94"/>
  <c r="D54" i="94"/>
  <c r="L54" i="94" s="1"/>
  <c r="B54" i="94"/>
  <c r="Z53" i="94"/>
  <c r="X53" i="94"/>
  <c r="N53" i="94"/>
  <c r="L53" i="94"/>
  <c r="B53" i="94"/>
  <c r="T52" i="94"/>
  <c r="P52" i="94"/>
  <c r="X52" i="94" s="1"/>
  <c r="Z52" i="94" s="1"/>
  <c r="L52" i="94"/>
  <c r="N52" i="94" s="1"/>
  <c r="H52" i="94"/>
  <c r="D52" i="94"/>
  <c r="B52" i="94"/>
  <c r="Z51" i="94"/>
  <c r="X51" i="94"/>
  <c r="N51" i="94"/>
  <c r="L51" i="94"/>
  <c r="B51" i="94"/>
  <c r="T50" i="94"/>
  <c r="P50" i="94"/>
  <c r="H50" i="94"/>
  <c r="N50" i="94" s="1"/>
  <c r="D50" i="94"/>
  <c r="L50" i="94" s="1"/>
  <c r="B50" i="94"/>
  <c r="Z49" i="94"/>
  <c r="X49" i="94"/>
  <c r="N49" i="94"/>
  <c r="L49" i="94"/>
  <c r="B49" i="94"/>
  <c r="T48" i="94"/>
  <c r="P48" i="94"/>
  <c r="X48" i="94" s="1"/>
  <c r="L48" i="94"/>
  <c r="N48" i="94" s="1"/>
  <c r="H48" i="94"/>
  <c r="D48" i="94"/>
  <c r="B48" i="94"/>
  <c r="Z47" i="94"/>
  <c r="X47" i="94"/>
  <c r="L47" i="94"/>
  <c r="N47" i="94" s="1"/>
  <c r="B47" i="94"/>
  <c r="X46" i="94"/>
  <c r="Z46" i="94" s="1"/>
  <c r="T46" i="94"/>
  <c r="P46" i="94"/>
  <c r="L46" i="94"/>
  <c r="H46" i="94"/>
  <c r="D46" i="94"/>
  <c r="B46" i="94"/>
  <c r="Z45" i="94"/>
  <c r="X45" i="94"/>
  <c r="N45" i="94"/>
  <c r="L45" i="94"/>
  <c r="B45" i="94"/>
  <c r="T44" i="94"/>
  <c r="P44" i="94"/>
  <c r="H44" i="94"/>
  <c r="D44" i="94"/>
  <c r="L44" i="94" s="1"/>
  <c r="B44" i="94"/>
  <c r="X43" i="94"/>
  <c r="Z43" i="94" s="1"/>
  <c r="N43" i="94"/>
  <c r="L43" i="94"/>
  <c r="B43" i="94"/>
  <c r="T42" i="94"/>
  <c r="P42" i="94"/>
  <c r="X42" i="94" s="1"/>
  <c r="H42" i="94"/>
  <c r="N42" i="94" s="1"/>
  <c r="D42" i="94"/>
  <c r="L42" i="94" s="1"/>
  <c r="B42" i="94"/>
  <c r="Z41" i="94"/>
  <c r="X41" i="94"/>
  <c r="N41" i="94"/>
  <c r="L41" i="94"/>
  <c r="B41" i="94"/>
  <c r="T40" i="94"/>
  <c r="Z40" i="94" s="1"/>
  <c r="P40" i="94"/>
  <c r="X40" i="94" s="1"/>
  <c r="L40" i="94"/>
  <c r="N40" i="94" s="1"/>
  <c r="H40" i="94"/>
  <c r="D40" i="94"/>
  <c r="B40" i="94"/>
  <c r="Z39" i="94"/>
  <c r="X39" i="94"/>
  <c r="N39" i="94"/>
  <c r="L39" i="94"/>
  <c r="B39" i="94"/>
  <c r="X38" i="94"/>
  <c r="Z38" i="94" s="1"/>
  <c r="L38" i="94"/>
  <c r="N38" i="94" s="1"/>
  <c r="F38" i="94"/>
  <c r="B38" i="94"/>
  <c r="Z37" i="94"/>
  <c r="X37" i="94"/>
  <c r="N37" i="94"/>
  <c r="L37" i="94"/>
  <c r="B37" i="94"/>
  <c r="X36" i="94"/>
  <c r="Z36" i="94" s="1"/>
  <c r="L36" i="94"/>
  <c r="N36" i="94" s="1"/>
  <c r="F36" i="94"/>
  <c r="B36" i="94"/>
  <c r="X35" i="94"/>
  <c r="Z35" i="94" s="1"/>
  <c r="N35" i="94"/>
  <c r="L35" i="94"/>
  <c r="B35" i="94"/>
  <c r="T34" i="94"/>
  <c r="P34" i="94"/>
  <c r="H34" i="94"/>
  <c r="N34" i="94" s="1"/>
  <c r="D34" i="94"/>
  <c r="L34" i="94" s="1"/>
  <c r="B34" i="94"/>
  <c r="Z33" i="94"/>
  <c r="X33" i="94"/>
  <c r="N33" i="94"/>
  <c r="L33" i="94"/>
  <c r="B33" i="94"/>
  <c r="X32" i="94"/>
  <c r="Z32" i="94" s="1"/>
  <c r="L32" i="94"/>
  <c r="N32" i="94" s="1"/>
  <c r="B32" i="94"/>
  <c r="X31" i="94"/>
  <c r="Z31" i="94" s="1"/>
  <c r="N31" i="94"/>
  <c r="L31" i="94"/>
  <c r="B31" i="94"/>
  <c r="X30" i="94"/>
  <c r="Z30" i="94" s="1"/>
  <c r="L30" i="94"/>
  <c r="N30" i="94" s="1"/>
  <c r="B30" i="94"/>
  <c r="Z29" i="94"/>
  <c r="X29" i="94"/>
  <c r="N29" i="94"/>
  <c r="L29" i="94"/>
  <c r="B29" i="94"/>
  <c r="X28" i="94"/>
  <c r="Z28" i="94" s="1"/>
  <c r="L28" i="94"/>
  <c r="N28" i="94" s="1"/>
  <c r="B28" i="94"/>
  <c r="Z27" i="94"/>
  <c r="X27" i="94"/>
  <c r="L27" i="94"/>
  <c r="N27" i="94" s="1"/>
  <c r="B27" i="94"/>
  <c r="X26" i="94"/>
  <c r="Z26" i="94" s="1"/>
  <c r="L26" i="94"/>
  <c r="N26" i="94" s="1"/>
  <c r="F26" i="94"/>
  <c r="B26" i="94"/>
  <c r="Z25" i="94"/>
  <c r="X25" i="94"/>
  <c r="N25" i="94"/>
  <c r="L25" i="94"/>
  <c r="B25" i="94"/>
  <c r="T24" i="94"/>
  <c r="Z24" i="94" s="1"/>
  <c r="P24" i="94"/>
  <c r="X24" i="94" s="1"/>
  <c r="L24" i="94"/>
  <c r="N24" i="94" s="1"/>
  <c r="H24" i="94"/>
  <c r="D24" i="94"/>
  <c r="B24" i="94"/>
  <c r="Z23" i="94"/>
  <c r="T23" i="94"/>
  <c r="P23" i="94"/>
  <c r="X23" i="94" s="1"/>
  <c r="H23" i="94"/>
  <c r="D23" i="94"/>
  <c r="L23" i="94" s="1"/>
  <c r="Z19" i="94"/>
  <c r="X19" i="94"/>
  <c r="L19" i="94"/>
  <c r="N19" i="94" s="1"/>
  <c r="B19" i="94"/>
  <c r="X18" i="94"/>
  <c r="Z18" i="94" s="1"/>
  <c r="L18" i="94"/>
  <c r="N18" i="94" s="1"/>
  <c r="F18" i="94"/>
  <c r="B18" i="94"/>
  <c r="Z17" i="94"/>
  <c r="T17" i="94"/>
  <c r="X17" i="94" s="1"/>
  <c r="P17" i="94"/>
  <c r="N17" i="94"/>
  <c r="L17" i="94"/>
  <c r="H17" i="94"/>
  <c r="D17" i="94"/>
  <c r="T15" i="94"/>
  <c r="P15" i="94"/>
  <c r="H15" i="94"/>
  <c r="D15" i="94"/>
  <c r="L15" i="94" s="1"/>
  <c r="N15" i="94" s="1"/>
  <c r="B15" i="94"/>
  <c r="X14" i="94"/>
  <c r="T14" i="94"/>
  <c r="Z14" i="94" s="1"/>
  <c r="P14" i="94"/>
  <c r="H14" i="94"/>
  <c r="D14" i="94"/>
  <c r="L14" i="94" s="1"/>
  <c r="B14" i="94"/>
  <c r="T13" i="94"/>
  <c r="P13" i="94"/>
  <c r="P12" i="94" s="1"/>
  <c r="H13" i="94"/>
  <c r="D13" i="94"/>
  <c r="B13" i="94"/>
  <c r="D12" i="94"/>
  <c r="D6" i="94"/>
  <c r="D4" i="94"/>
  <c r="V30" i="93"/>
  <c r="Z28" i="93"/>
  <c r="X28" i="93"/>
  <c r="N28" i="93"/>
  <c r="L28" i="93"/>
  <c r="V24" i="93"/>
  <c r="T24" i="93"/>
  <c r="P24" i="93"/>
  <c r="H24" i="93"/>
  <c r="N24" i="93" s="1"/>
  <c r="D24" i="93"/>
  <c r="Z22" i="93"/>
  <c r="X22" i="93"/>
  <c r="N22" i="93"/>
  <c r="L22" i="93"/>
  <c r="F22" i="93"/>
  <c r="B22" i="93"/>
  <c r="T21" i="93"/>
  <c r="Z21" i="93" s="1"/>
  <c r="R21" i="93"/>
  <c r="P21" i="93"/>
  <c r="X21" i="93" s="1"/>
  <c r="N21" i="93"/>
  <c r="L21" i="93"/>
  <c r="H21" i="93"/>
  <c r="D21" i="93"/>
  <c r="B21" i="93"/>
  <c r="Z20" i="93"/>
  <c r="X20" i="93"/>
  <c r="N20" i="93"/>
  <c r="L20" i="93"/>
  <c r="F20" i="93"/>
  <c r="B20" i="93"/>
  <c r="Z19" i="93"/>
  <c r="X19" i="93"/>
  <c r="T19" i="93"/>
  <c r="P19" i="93"/>
  <c r="N19" i="93"/>
  <c r="L19" i="93"/>
  <c r="J19" i="93"/>
  <c r="H19" i="93"/>
  <c r="D19" i="93"/>
  <c r="B19" i="93"/>
  <c r="X18" i="93"/>
  <c r="V18" i="93"/>
  <c r="T18" i="93"/>
  <c r="P18" i="93"/>
  <c r="H18" i="93"/>
  <c r="N18" i="93" s="1"/>
  <c r="D18" i="93"/>
  <c r="L18" i="93" s="1"/>
  <c r="P16" i="93"/>
  <c r="X14" i="93"/>
  <c r="V14" i="93"/>
  <c r="T14" i="93"/>
  <c r="Z14" i="93" s="1"/>
  <c r="P14" i="93"/>
  <c r="H14" i="93"/>
  <c r="N14" i="93" s="1"/>
  <c r="D14" i="93"/>
  <c r="L14" i="93" s="1"/>
  <c r="Z12" i="93"/>
  <c r="T12" i="93"/>
  <c r="V20" i="93" s="1"/>
  <c r="P12" i="93"/>
  <c r="R30" i="93" s="1"/>
  <c r="H12" i="93"/>
  <c r="J33" i="93" s="1"/>
  <c r="D12" i="93"/>
  <c r="D6" i="93"/>
  <c r="D4" i="93"/>
  <c r="X81" i="92"/>
  <c r="Z81" i="92" s="1"/>
  <c r="L81" i="92"/>
  <c r="N81" i="92" s="1"/>
  <c r="Z77" i="92"/>
  <c r="X77" i="92"/>
  <c r="T77" i="92"/>
  <c r="P77" i="92"/>
  <c r="L77" i="92"/>
  <c r="H77" i="92"/>
  <c r="N77" i="92" s="1"/>
  <c r="D77" i="92"/>
  <c r="X75" i="92"/>
  <c r="Z75" i="92" s="1"/>
  <c r="L75" i="92"/>
  <c r="N75" i="92" s="1"/>
  <c r="B75" i="92"/>
  <c r="T74" i="92"/>
  <c r="Z74" i="92" s="1"/>
  <c r="R74" i="92"/>
  <c r="P74" i="92"/>
  <c r="X74" i="92" s="1"/>
  <c r="H74" i="92"/>
  <c r="D74" i="92"/>
  <c r="L74" i="92" s="1"/>
  <c r="N74" i="92" s="1"/>
  <c r="B74" i="92"/>
  <c r="Z73" i="92"/>
  <c r="X73" i="92"/>
  <c r="N73" i="92"/>
  <c r="L73" i="92"/>
  <c r="B73" i="92"/>
  <c r="Z72" i="92"/>
  <c r="X72" i="92"/>
  <c r="N72" i="92"/>
  <c r="L72" i="92"/>
  <c r="B72" i="92"/>
  <c r="Z71" i="92"/>
  <c r="X71" i="92"/>
  <c r="N71" i="92"/>
  <c r="L71" i="92"/>
  <c r="B71" i="92"/>
  <c r="Z70" i="92"/>
  <c r="X70" i="92"/>
  <c r="N70" i="92"/>
  <c r="L70" i="92"/>
  <c r="B70" i="92"/>
  <c r="X69" i="92"/>
  <c r="Z69" i="92" s="1"/>
  <c r="N69" i="92"/>
  <c r="L69" i="92"/>
  <c r="B69" i="92"/>
  <c r="Z68" i="92"/>
  <c r="X68" i="92"/>
  <c r="L68" i="92"/>
  <c r="N68" i="92" s="1"/>
  <c r="B68" i="92"/>
  <c r="X67" i="92"/>
  <c r="Z67" i="92" s="1"/>
  <c r="N67" i="92"/>
  <c r="L67" i="92"/>
  <c r="B67" i="92"/>
  <c r="Z66" i="92"/>
  <c r="X66" i="92"/>
  <c r="N66" i="92"/>
  <c r="L66" i="92"/>
  <c r="B66" i="92"/>
  <c r="T65" i="92"/>
  <c r="Z65" i="92" s="1"/>
  <c r="P65" i="92"/>
  <c r="X65" i="92" s="1"/>
  <c r="L65" i="92"/>
  <c r="N65" i="92" s="1"/>
  <c r="H65" i="92"/>
  <c r="D65" i="92"/>
  <c r="B65" i="92"/>
  <c r="Z64" i="92"/>
  <c r="X64" i="92"/>
  <c r="L64" i="92"/>
  <c r="N64" i="92" s="1"/>
  <c r="B64" i="92"/>
  <c r="X63" i="92"/>
  <c r="Z63" i="92" s="1"/>
  <c r="L63" i="92"/>
  <c r="N63" i="92" s="1"/>
  <c r="B63" i="92"/>
  <c r="Z62" i="92"/>
  <c r="X62" i="92"/>
  <c r="N62" i="92"/>
  <c r="L62" i="92"/>
  <c r="B62" i="92"/>
  <c r="T61" i="92"/>
  <c r="P61" i="92"/>
  <c r="X61" i="92" s="1"/>
  <c r="L61" i="92"/>
  <c r="N61" i="92" s="1"/>
  <c r="H61" i="92"/>
  <c r="D61" i="92"/>
  <c r="B61" i="92"/>
  <c r="Z60" i="92"/>
  <c r="X60" i="92"/>
  <c r="L60" i="92"/>
  <c r="N60" i="92" s="1"/>
  <c r="B60" i="92"/>
  <c r="X59" i="92"/>
  <c r="Z59" i="92" s="1"/>
  <c r="N59" i="92"/>
  <c r="L59" i="92"/>
  <c r="B59" i="92"/>
  <c r="T58" i="92"/>
  <c r="P58" i="92"/>
  <c r="X58" i="92" s="1"/>
  <c r="Z58" i="92" s="1"/>
  <c r="N58" i="92"/>
  <c r="L58" i="92"/>
  <c r="H58" i="92"/>
  <c r="D58" i="92"/>
  <c r="B58" i="92"/>
  <c r="X57" i="92"/>
  <c r="Z57" i="92" s="1"/>
  <c r="L57" i="92"/>
  <c r="N57" i="92" s="1"/>
  <c r="B57" i="92"/>
  <c r="X56" i="92"/>
  <c r="Z56" i="92" s="1"/>
  <c r="T56" i="92"/>
  <c r="P56" i="92"/>
  <c r="H56" i="92"/>
  <c r="D56" i="92"/>
  <c r="B56" i="92"/>
  <c r="X55" i="92"/>
  <c r="Z55" i="92" s="1"/>
  <c r="N55" i="92"/>
  <c r="L55" i="92"/>
  <c r="B55" i="92"/>
  <c r="T54" i="92"/>
  <c r="P54" i="92"/>
  <c r="H54" i="92"/>
  <c r="N54" i="92" s="1"/>
  <c r="D54" i="92"/>
  <c r="L54" i="92" s="1"/>
  <c r="B54" i="92"/>
  <c r="X53" i="92"/>
  <c r="Z53" i="92" s="1"/>
  <c r="L53" i="92"/>
  <c r="N53" i="92" s="1"/>
  <c r="B53" i="92"/>
  <c r="T52" i="92"/>
  <c r="P52" i="92"/>
  <c r="X52" i="92" s="1"/>
  <c r="N52" i="92"/>
  <c r="H52" i="92"/>
  <c r="D52" i="92"/>
  <c r="L52" i="92" s="1"/>
  <c r="B52" i="92"/>
  <c r="Z51" i="92"/>
  <c r="X51" i="92"/>
  <c r="N51" i="92"/>
  <c r="L51" i="92"/>
  <c r="B51" i="92"/>
  <c r="T50" i="92"/>
  <c r="Z50" i="92" s="1"/>
  <c r="P50" i="92"/>
  <c r="X50" i="92" s="1"/>
  <c r="N50" i="92"/>
  <c r="L50" i="92"/>
  <c r="H50" i="92"/>
  <c r="D50" i="92"/>
  <c r="B50" i="92"/>
  <c r="Z49" i="92"/>
  <c r="X49" i="92"/>
  <c r="V49" i="92"/>
  <c r="N49" i="92"/>
  <c r="L49" i="92"/>
  <c r="B49" i="92"/>
  <c r="Z48" i="92"/>
  <c r="X48" i="92"/>
  <c r="T48" i="92"/>
  <c r="P48" i="92"/>
  <c r="H48" i="92"/>
  <c r="D48" i="92"/>
  <c r="B48" i="92"/>
  <c r="Z47" i="92"/>
  <c r="X47" i="92"/>
  <c r="L47" i="92"/>
  <c r="N47" i="92" s="1"/>
  <c r="B47" i="92"/>
  <c r="T46" i="92"/>
  <c r="P46" i="92"/>
  <c r="H46" i="92"/>
  <c r="D46" i="92"/>
  <c r="L46" i="92" s="1"/>
  <c r="B46" i="92"/>
  <c r="Z45" i="92"/>
  <c r="X45" i="92"/>
  <c r="N45" i="92"/>
  <c r="L45" i="92"/>
  <c r="B45" i="92"/>
  <c r="T44" i="92"/>
  <c r="Z44" i="92" s="1"/>
  <c r="P44" i="92"/>
  <c r="X44" i="92" s="1"/>
  <c r="N44" i="92"/>
  <c r="H44" i="92"/>
  <c r="D44" i="92"/>
  <c r="L44" i="92" s="1"/>
  <c r="B44" i="92"/>
  <c r="Z43" i="92"/>
  <c r="X43" i="92"/>
  <c r="N43" i="92"/>
  <c r="L43" i="92"/>
  <c r="B43" i="92"/>
  <c r="Z42" i="92"/>
  <c r="X42" i="92"/>
  <c r="T42" i="92"/>
  <c r="P42" i="92"/>
  <c r="H42" i="92"/>
  <c r="D42" i="92"/>
  <c r="B42" i="92"/>
  <c r="X41" i="92"/>
  <c r="Z41" i="92" s="1"/>
  <c r="V41" i="92"/>
  <c r="N41" i="92"/>
  <c r="L41" i="92"/>
  <c r="B41" i="92"/>
  <c r="X40" i="92"/>
  <c r="V40" i="92"/>
  <c r="T40" i="92"/>
  <c r="P40" i="92"/>
  <c r="H40" i="92"/>
  <c r="N40" i="92" s="1"/>
  <c r="D40" i="92"/>
  <c r="L40" i="92" s="1"/>
  <c r="B40" i="92"/>
  <c r="Z39" i="92"/>
  <c r="X39" i="92"/>
  <c r="N39" i="92"/>
  <c r="L39" i="92"/>
  <c r="B39" i="92"/>
  <c r="X38" i="92"/>
  <c r="Z38" i="92" s="1"/>
  <c r="R38" i="92"/>
  <c r="L38" i="92"/>
  <c r="N38" i="92" s="1"/>
  <c r="B38" i="92"/>
  <c r="Z37" i="92"/>
  <c r="X37" i="92"/>
  <c r="V37" i="92"/>
  <c r="R37" i="92"/>
  <c r="N37" i="92"/>
  <c r="L37" i="92"/>
  <c r="B37" i="92"/>
  <c r="X36" i="92"/>
  <c r="Z36" i="92" s="1"/>
  <c r="V36" i="92"/>
  <c r="L36" i="92"/>
  <c r="N36" i="92" s="1"/>
  <c r="B36" i="92"/>
  <c r="Z35" i="92"/>
  <c r="X35" i="92"/>
  <c r="V35" i="92"/>
  <c r="N35" i="92"/>
  <c r="L35" i="92"/>
  <c r="B35" i="92"/>
  <c r="X34" i="92"/>
  <c r="Z34" i="92" s="1"/>
  <c r="T34" i="92"/>
  <c r="P34" i="92"/>
  <c r="H34" i="92"/>
  <c r="D34" i="92"/>
  <c r="B34" i="92"/>
  <c r="X33" i="92"/>
  <c r="Z33" i="92" s="1"/>
  <c r="V33" i="92"/>
  <c r="N33" i="92"/>
  <c r="L33" i="92"/>
  <c r="B33" i="92"/>
  <c r="X32" i="92"/>
  <c r="Z32" i="92" s="1"/>
  <c r="V32" i="92"/>
  <c r="R32" i="92"/>
  <c r="L32" i="92"/>
  <c r="N32" i="92" s="1"/>
  <c r="B32" i="92"/>
  <c r="Z31" i="92"/>
  <c r="X31" i="92"/>
  <c r="V31" i="92"/>
  <c r="N31" i="92"/>
  <c r="L31" i="92"/>
  <c r="B31" i="92"/>
  <c r="Z30" i="92"/>
  <c r="X30" i="92"/>
  <c r="L30" i="92"/>
  <c r="N30" i="92" s="1"/>
  <c r="B30" i="92"/>
  <c r="Z29" i="92"/>
  <c r="X29" i="92"/>
  <c r="L29" i="92"/>
  <c r="N29" i="92" s="1"/>
  <c r="B29" i="92"/>
  <c r="X28" i="92"/>
  <c r="Z28" i="92" s="1"/>
  <c r="L28" i="92"/>
  <c r="N28" i="92" s="1"/>
  <c r="B28" i="92"/>
  <c r="Z27" i="92"/>
  <c r="X27" i="92"/>
  <c r="N27" i="92"/>
  <c r="L27" i="92"/>
  <c r="B27" i="92"/>
  <c r="X26" i="92"/>
  <c r="Z26" i="92" s="1"/>
  <c r="R26" i="92"/>
  <c r="N26" i="92"/>
  <c r="L26" i="92"/>
  <c r="B26" i="92"/>
  <c r="X25" i="92"/>
  <c r="Z25" i="92" s="1"/>
  <c r="V25" i="92"/>
  <c r="N25" i="92"/>
  <c r="L25" i="92"/>
  <c r="B25" i="92"/>
  <c r="X24" i="92"/>
  <c r="V24" i="92"/>
  <c r="T24" i="92"/>
  <c r="P24" i="92"/>
  <c r="H24" i="92"/>
  <c r="D24" i="92"/>
  <c r="L24" i="92" s="1"/>
  <c r="B24" i="92"/>
  <c r="T23" i="92"/>
  <c r="Z23" i="92" s="1"/>
  <c r="P23" i="92"/>
  <c r="X23" i="92" s="1"/>
  <c r="N23" i="92"/>
  <c r="H23" i="92"/>
  <c r="D23" i="92"/>
  <c r="L23" i="92" s="1"/>
  <c r="X19" i="92"/>
  <c r="Z19" i="92" s="1"/>
  <c r="N19" i="92"/>
  <c r="L19" i="92"/>
  <c r="B19" i="92"/>
  <c r="X18" i="92"/>
  <c r="Z18" i="92" s="1"/>
  <c r="N18" i="92"/>
  <c r="L18" i="92"/>
  <c r="B18" i="92"/>
  <c r="V17" i="92"/>
  <c r="T17" i="92"/>
  <c r="P17" i="92"/>
  <c r="H17" i="92"/>
  <c r="N17" i="92" s="1"/>
  <c r="D17" i="92"/>
  <c r="L17" i="92" s="1"/>
  <c r="T15" i="92"/>
  <c r="P15" i="92"/>
  <c r="X15" i="92" s="1"/>
  <c r="Z15" i="92" s="1"/>
  <c r="H15" i="92"/>
  <c r="D15" i="92"/>
  <c r="L15" i="92" s="1"/>
  <c r="B15" i="92"/>
  <c r="T14" i="92"/>
  <c r="Z14" i="92" s="1"/>
  <c r="P14" i="92"/>
  <c r="X14" i="92" s="1"/>
  <c r="H14" i="92"/>
  <c r="N14" i="92" s="1"/>
  <c r="D14" i="92"/>
  <c r="B14" i="92"/>
  <c r="T13" i="92"/>
  <c r="Z13" i="92" s="1"/>
  <c r="P13" i="92"/>
  <c r="X13" i="92" s="1"/>
  <c r="N13" i="92"/>
  <c r="L13" i="92"/>
  <c r="H13" i="92"/>
  <c r="D13" i="92"/>
  <c r="B13" i="92"/>
  <c r="T12" i="92"/>
  <c r="P12" i="92"/>
  <c r="R69" i="92" s="1"/>
  <c r="D6" i="92"/>
  <c r="D4" i="92"/>
  <c r="V55" i="91"/>
  <c r="Z50" i="91"/>
  <c r="X50" i="91"/>
  <c r="V50" i="91"/>
  <c r="R50" i="91"/>
  <c r="N50" i="91"/>
  <c r="L50" i="91"/>
  <c r="V48" i="91"/>
  <c r="T46" i="91"/>
  <c r="Z46" i="91" s="1"/>
  <c r="P46" i="91"/>
  <c r="X46" i="91" s="1"/>
  <c r="N46" i="91"/>
  <c r="L46" i="91"/>
  <c r="H46" i="91"/>
  <c r="D46" i="91"/>
  <c r="Z44" i="91"/>
  <c r="X44" i="91"/>
  <c r="V44" i="91"/>
  <c r="R44" i="91"/>
  <c r="N44" i="91"/>
  <c r="L44" i="91"/>
  <c r="B44" i="91"/>
  <c r="Z43" i="91"/>
  <c r="X43" i="91"/>
  <c r="V43" i="91"/>
  <c r="T43" i="91"/>
  <c r="P43" i="91"/>
  <c r="H43" i="91"/>
  <c r="F43" i="91"/>
  <c r="D43" i="91"/>
  <c r="B43" i="91"/>
  <c r="Z42" i="91"/>
  <c r="X42" i="91"/>
  <c r="R42" i="91"/>
  <c r="N42" i="91"/>
  <c r="L42" i="91"/>
  <c r="B42" i="91"/>
  <c r="V41" i="91"/>
  <c r="T41" i="91"/>
  <c r="R41" i="91"/>
  <c r="P41" i="91"/>
  <c r="H41" i="91"/>
  <c r="N41" i="91" s="1"/>
  <c r="D41" i="91"/>
  <c r="L41" i="91" s="1"/>
  <c r="B41" i="91"/>
  <c r="X40" i="91"/>
  <c r="Z40" i="91" s="1"/>
  <c r="N40" i="91"/>
  <c r="L40" i="91"/>
  <c r="B40" i="91"/>
  <c r="T39" i="91"/>
  <c r="Z39" i="91" s="1"/>
  <c r="R39" i="91"/>
  <c r="P39" i="91"/>
  <c r="X39" i="91" s="1"/>
  <c r="N39" i="91"/>
  <c r="H39" i="91"/>
  <c r="D39" i="91"/>
  <c r="L39" i="91" s="1"/>
  <c r="B39" i="91"/>
  <c r="Z38" i="91"/>
  <c r="X38" i="91"/>
  <c r="N38" i="91"/>
  <c r="L38" i="91"/>
  <c r="B38" i="91"/>
  <c r="Z37" i="91"/>
  <c r="X37" i="91"/>
  <c r="N37" i="91"/>
  <c r="L37" i="91"/>
  <c r="B37" i="91"/>
  <c r="T36" i="91"/>
  <c r="P36" i="91"/>
  <c r="X36" i="91" s="1"/>
  <c r="N36" i="91"/>
  <c r="L36" i="91"/>
  <c r="H36" i="91"/>
  <c r="D36" i="91"/>
  <c r="B36" i="91"/>
  <c r="Z35" i="91"/>
  <c r="X35" i="91"/>
  <c r="V35" i="91"/>
  <c r="L35" i="91"/>
  <c r="N35" i="91" s="1"/>
  <c r="B35" i="91"/>
  <c r="Z34" i="91"/>
  <c r="X34" i="91"/>
  <c r="T34" i="91"/>
  <c r="P34" i="91"/>
  <c r="H34" i="91"/>
  <c r="D34" i="91"/>
  <c r="B34" i="91"/>
  <c r="X33" i="91"/>
  <c r="Z33" i="91" s="1"/>
  <c r="V33" i="91"/>
  <c r="R33" i="91"/>
  <c r="N33" i="91"/>
  <c r="L33" i="91"/>
  <c r="B33" i="91"/>
  <c r="Z32" i="91"/>
  <c r="V32" i="91"/>
  <c r="T32" i="91"/>
  <c r="X32" i="91" s="1"/>
  <c r="P32" i="91"/>
  <c r="H32" i="91"/>
  <c r="N32" i="91" s="1"/>
  <c r="F32" i="91"/>
  <c r="D32" i="91"/>
  <c r="L32" i="91" s="1"/>
  <c r="B32" i="91"/>
  <c r="Z31" i="91"/>
  <c r="X31" i="91"/>
  <c r="R31" i="91"/>
  <c r="N31" i="91"/>
  <c r="L31" i="91"/>
  <c r="B31" i="91"/>
  <c r="V30" i="91"/>
  <c r="T30" i="91"/>
  <c r="Z30" i="91" s="1"/>
  <c r="R30" i="91"/>
  <c r="P30" i="91"/>
  <c r="X30" i="91" s="1"/>
  <c r="H30" i="91"/>
  <c r="N30" i="91" s="1"/>
  <c r="D30" i="91"/>
  <c r="L30" i="91" s="1"/>
  <c r="B30" i="91"/>
  <c r="Z29" i="91"/>
  <c r="X29" i="91"/>
  <c r="L29" i="91"/>
  <c r="N29" i="91" s="1"/>
  <c r="B29" i="91"/>
  <c r="T28" i="91"/>
  <c r="Z28" i="91" s="1"/>
  <c r="R28" i="91"/>
  <c r="P28" i="91"/>
  <c r="X28" i="91" s="1"/>
  <c r="N28" i="91"/>
  <c r="L28" i="91"/>
  <c r="H28" i="91"/>
  <c r="D28" i="91"/>
  <c r="B28" i="91"/>
  <c r="X27" i="91"/>
  <c r="Z27" i="91" s="1"/>
  <c r="V27" i="91"/>
  <c r="N27" i="91"/>
  <c r="L27" i="91"/>
  <c r="F27" i="91"/>
  <c r="B27" i="91"/>
  <c r="X26" i="91"/>
  <c r="Z26" i="91" s="1"/>
  <c r="L26" i="91"/>
  <c r="N26" i="91" s="1"/>
  <c r="B26" i="91"/>
  <c r="Z25" i="91"/>
  <c r="X25" i="91"/>
  <c r="L25" i="91"/>
  <c r="N25" i="91" s="1"/>
  <c r="F25" i="91"/>
  <c r="B25" i="91"/>
  <c r="X24" i="91"/>
  <c r="Z24" i="91" s="1"/>
  <c r="L24" i="91"/>
  <c r="N24" i="91" s="1"/>
  <c r="B24" i="91"/>
  <c r="Z23" i="91"/>
  <c r="X23" i="91"/>
  <c r="V23" i="91"/>
  <c r="R23" i="91"/>
  <c r="N23" i="91"/>
  <c r="L23" i="91"/>
  <c r="B23" i="91"/>
  <c r="X22" i="91"/>
  <c r="Z22" i="91" s="1"/>
  <c r="V22" i="91"/>
  <c r="R22" i="91"/>
  <c r="L22" i="91"/>
  <c r="N22" i="91" s="1"/>
  <c r="B22" i="91"/>
  <c r="X21" i="91"/>
  <c r="Z21" i="91" s="1"/>
  <c r="V21" i="91"/>
  <c r="R21" i="91"/>
  <c r="N21" i="91"/>
  <c r="L21" i="91"/>
  <c r="B21" i="91"/>
  <c r="Z20" i="91"/>
  <c r="X20" i="91"/>
  <c r="V20" i="91"/>
  <c r="R20" i="91"/>
  <c r="L20" i="91"/>
  <c r="N20" i="91" s="1"/>
  <c r="B20" i="91"/>
  <c r="Z19" i="91"/>
  <c r="X19" i="91"/>
  <c r="V19" i="91"/>
  <c r="T19" i="91"/>
  <c r="P19" i="91"/>
  <c r="L19" i="91"/>
  <c r="J19" i="91"/>
  <c r="H19" i="91"/>
  <c r="D19" i="91"/>
  <c r="B19" i="91"/>
  <c r="V18" i="91"/>
  <c r="T18" i="91"/>
  <c r="R18" i="91"/>
  <c r="P18" i="91"/>
  <c r="X18" i="91" s="1"/>
  <c r="H18" i="91"/>
  <c r="D18" i="91"/>
  <c r="V14" i="91"/>
  <c r="T14" i="91"/>
  <c r="R14" i="91"/>
  <c r="P14" i="91"/>
  <c r="H14" i="91"/>
  <c r="N14" i="91" s="1"/>
  <c r="D14" i="91"/>
  <c r="Z12" i="91"/>
  <c r="X12" i="91"/>
  <c r="T12" i="91"/>
  <c r="V38" i="91" s="1"/>
  <c r="P12" i="91"/>
  <c r="R55" i="91" s="1"/>
  <c r="H12" i="91"/>
  <c r="D12" i="91"/>
  <c r="F48" i="91" s="1"/>
  <c r="D6" i="91"/>
  <c r="D4" i="91"/>
  <c r="Z49" i="90"/>
  <c r="X49" i="90"/>
  <c r="V49" i="90"/>
  <c r="N49" i="90"/>
  <c r="L49" i="90"/>
  <c r="J49" i="90"/>
  <c r="V47" i="90"/>
  <c r="Z45" i="90"/>
  <c r="T45" i="90"/>
  <c r="P45" i="90"/>
  <c r="X45" i="90" s="1"/>
  <c r="H45" i="90"/>
  <c r="N45" i="90" s="1"/>
  <c r="D45" i="90"/>
  <c r="X43" i="90"/>
  <c r="Z43" i="90" s="1"/>
  <c r="N43" i="90"/>
  <c r="L43" i="90"/>
  <c r="B43" i="90"/>
  <c r="T42" i="90"/>
  <c r="P42" i="90"/>
  <c r="N42" i="90"/>
  <c r="J42" i="90"/>
  <c r="H42" i="90"/>
  <c r="D42" i="90"/>
  <c r="L42" i="90" s="1"/>
  <c r="B42" i="90"/>
  <c r="Z41" i="90"/>
  <c r="X41" i="90"/>
  <c r="N41" i="90"/>
  <c r="L41" i="90"/>
  <c r="F41" i="90"/>
  <c r="B41" i="90"/>
  <c r="Z40" i="90"/>
  <c r="V40" i="90"/>
  <c r="T40" i="90"/>
  <c r="P40" i="90"/>
  <c r="X40" i="90" s="1"/>
  <c r="N40" i="90"/>
  <c r="H40" i="90"/>
  <c r="L40" i="90" s="1"/>
  <c r="F40" i="90"/>
  <c r="D40" i="90"/>
  <c r="B40" i="90"/>
  <c r="Z39" i="90"/>
  <c r="X39" i="90"/>
  <c r="N39" i="90"/>
  <c r="L39" i="90"/>
  <c r="B39" i="90"/>
  <c r="Z38" i="90"/>
  <c r="T38" i="90"/>
  <c r="X38" i="90" s="1"/>
  <c r="R38" i="90"/>
  <c r="P38" i="90"/>
  <c r="L38" i="90"/>
  <c r="H38" i="90"/>
  <c r="N38" i="90" s="1"/>
  <c r="D38" i="90"/>
  <c r="B38" i="90"/>
  <c r="X37" i="90"/>
  <c r="Z37" i="90" s="1"/>
  <c r="V37" i="90"/>
  <c r="N37" i="90"/>
  <c r="L37" i="90"/>
  <c r="F37" i="90"/>
  <c r="B37" i="90"/>
  <c r="X36" i="90"/>
  <c r="Z36" i="90" s="1"/>
  <c r="V36" i="90"/>
  <c r="N36" i="90"/>
  <c r="L36" i="90"/>
  <c r="B36" i="90"/>
  <c r="Z35" i="90"/>
  <c r="X35" i="90"/>
  <c r="T35" i="90"/>
  <c r="P35" i="90"/>
  <c r="J35" i="90"/>
  <c r="H35" i="90"/>
  <c r="N35" i="90" s="1"/>
  <c r="D35" i="90"/>
  <c r="B35" i="90"/>
  <c r="Z34" i="90"/>
  <c r="X34" i="90"/>
  <c r="N34" i="90"/>
  <c r="L34" i="90"/>
  <c r="B34" i="90"/>
  <c r="V33" i="90"/>
  <c r="T33" i="90"/>
  <c r="P33" i="90"/>
  <c r="N33" i="90"/>
  <c r="H33" i="90"/>
  <c r="F33" i="90"/>
  <c r="D33" i="90"/>
  <c r="L33" i="90" s="1"/>
  <c r="B33" i="90"/>
  <c r="X32" i="90"/>
  <c r="Z32" i="90" s="1"/>
  <c r="V32" i="90"/>
  <c r="L32" i="90"/>
  <c r="N32" i="90" s="1"/>
  <c r="B32" i="90"/>
  <c r="T31" i="90"/>
  <c r="P31" i="90"/>
  <c r="X31" i="90" s="1"/>
  <c r="Z31" i="90" s="1"/>
  <c r="H31" i="90"/>
  <c r="D31" i="90"/>
  <c r="B31" i="90"/>
  <c r="Z30" i="90"/>
  <c r="X30" i="90"/>
  <c r="N30" i="90"/>
  <c r="L30" i="90"/>
  <c r="F30" i="90"/>
  <c r="B30" i="90"/>
  <c r="T29" i="90"/>
  <c r="P29" i="90"/>
  <c r="N29" i="90"/>
  <c r="L29" i="90"/>
  <c r="H29" i="90"/>
  <c r="D29" i="90"/>
  <c r="B29" i="90"/>
  <c r="X28" i="90"/>
  <c r="Z28" i="90" s="1"/>
  <c r="V28" i="90"/>
  <c r="N28" i="90"/>
  <c r="L28" i="90"/>
  <c r="B28" i="90"/>
  <c r="X27" i="90"/>
  <c r="Z27" i="90" s="1"/>
  <c r="T27" i="90"/>
  <c r="P27" i="90"/>
  <c r="H27" i="90"/>
  <c r="N27" i="90" s="1"/>
  <c r="D27" i="90"/>
  <c r="L27" i="90" s="1"/>
  <c r="B27" i="90"/>
  <c r="Z26" i="90"/>
  <c r="X26" i="90"/>
  <c r="R26" i="90"/>
  <c r="N26" i="90"/>
  <c r="L26" i="90"/>
  <c r="B26" i="90"/>
  <c r="X25" i="90"/>
  <c r="Z25" i="90" s="1"/>
  <c r="V25" i="90"/>
  <c r="N25" i="90"/>
  <c r="L25" i="90"/>
  <c r="F25" i="90"/>
  <c r="B25" i="90"/>
  <c r="X24" i="90"/>
  <c r="Z24" i="90" s="1"/>
  <c r="V24" i="90"/>
  <c r="N24" i="90"/>
  <c r="L24" i="90"/>
  <c r="B24" i="90"/>
  <c r="X23" i="90"/>
  <c r="Z23" i="90" s="1"/>
  <c r="N23" i="90"/>
  <c r="L23" i="90"/>
  <c r="B23" i="90"/>
  <c r="Z22" i="90"/>
  <c r="X22" i="90"/>
  <c r="N22" i="90"/>
  <c r="L22" i="90"/>
  <c r="F22" i="90"/>
  <c r="B22" i="90"/>
  <c r="T21" i="90"/>
  <c r="P21" i="90"/>
  <c r="N21" i="90"/>
  <c r="L21" i="90"/>
  <c r="H21" i="90"/>
  <c r="D21" i="90"/>
  <c r="B21" i="90"/>
  <c r="X20" i="90"/>
  <c r="V20" i="90"/>
  <c r="T20" i="90"/>
  <c r="Z20" i="90" s="1"/>
  <c r="P20" i="90"/>
  <c r="H20" i="90"/>
  <c r="F20" i="90"/>
  <c r="D20" i="90"/>
  <c r="V18" i="90"/>
  <c r="P18" i="90"/>
  <c r="Z16" i="90"/>
  <c r="X16" i="90"/>
  <c r="V16" i="90"/>
  <c r="N16" i="90"/>
  <c r="L16" i="90"/>
  <c r="B16" i="90"/>
  <c r="Z15" i="90"/>
  <c r="X15" i="90"/>
  <c r="V15" i="90"/>
  <c r="T15" i="90"/>
  <c r="P15" i="90"/>
  <c r="H15" i="90"/>
  <c r="D15" i="90"/>
  <c r="Z13" i="90"/>
  <c r="X13" i="90"/>
  <c r="T13" i="90"/>
  <c r="P13" i="90"/>
  <c r="N13" i="90"/>
  <c r="L13" i="90"/>
  <c r="H13" i="90"/>
  <c r="H12" i="90" s="1"/>
  <c r="J45" i="90" s="1"/>
  <c r="D13" i="90"/>
  <c r="B13" i="90"/>
  <c r="Z12" i="90"/>
  <c r="T12" i="90"/>
  <c r="V54" i="90" s="1"/>
  <c r="P12" i="90"/>
  <c r="R34" i="90" s="1"/>
  <c r="D12" i="90"/>
  <c r="F49" i="90" s="1"/>
  <c r="D6" i="90"/>
  <c r="D4" i="90"/>
  <c r="V37" i="89"/>
  <c r="F37" i="89"/>
  <c r="F34" i="89"/>
  <c r="Z32" i="89"/>
  <c r="X32" i="89"/>
  <c r="N32" i="89"/>
  <c r="L32" i="89"/>
  <c r="J32" i="89"/>
  <c r="F30" i="89"/>
  <c r="T28" i="89"/>
  <c r="Z28" i="89" s="1"/>
  <c r="P28" i="89"/>
  <c r="X28" i="89" s="1"/>
  <c r="N28" i="89"/>
  <c r="H28" i="89"/>
  <c r="L28" i="89" s="1"/>
  <c r="F28" i="89"/>
  <c r="D28" i="89"/>
  <c r="X26" i="89"/>
  <c r="Z26" i="89" s="1"/>
  <c r="N26" i="89"/>
  <c r="L26" i="89"/>
  <c r="B26" i="89"/>
  <c r="Z25" i="89"/>
  <c r="X25" i="89"/>
  <c r="T25" i="89"/>
  <c r="P25" i="89"/>
  <c r="H25" i="89"/>
  <c r="N25" i="89" s="1"/>
  <c r="D25" i="89"/>
  <c r="B25" i="89"/>
  <c r="Z24" i="89"/>
  <c r="X24" i="89"/>
  <c r="R24" i="89"/>
  <c r="N24" i="89"/>
  <c r="L24" i="89"/>
  <c r="B24" i="89"/>
  <c r="T23" i="89"/>
  <c r="P23" i="89"/>
  <c r="X23" i="89" s="1"/>
  <c r="L23" i="89"/>
  <c r="H23" i="89"/>
  <c r="N23" i="89" s="1"/>
  <c r="F23" i="89"/>
  <c r="D23" i="89"/>
  <c r="B23" i="89"/>
  <c r="X22" i="89"/>
  <c r="Z22" i="89" s="1"/>
  <c r="N22" i="89"/>
  <c r="L22" i="89"/>
  <c r="B22" i="89"/>
  <c r="X21" i="89"/>
  <c r="T21" i="89"/>
  <c r="Z21" i="89" s="1"/>
  <c r="R21" i="89"/>
  <c r="P21" i="89"/>
  <c r="H21" i="89"/>
  <c r="N21" i="89" s="1"/>
  <c r="D21" i="89"/>
  <c r="B21" i="89"/>
  <c r="Z20" i="89"/>
  <c r="X20" i="89"/>
  <c r="N20" i="89"/>
  <c r="L20" i="89"/>
  <c r="F20" i="89"/>
  <c r="B20" i="89"/>
  <c r="T19" i="89"/>
  <c r="P19" i="89"/>
  <c r="H19" i="89"/>
  <c r="D19" i="89"/>
  <c r="L19" i="89" s="1"/>
  <c r="N19" i="89" s="1"/>
  <c r="B19" i="89"/>
  <c r="X18" i="89"/>
  <c r="V18" i="89"/>
  <c r="T18" i="89"/>
  <c r="P18" i="89"/>
  <c r="H18" i="89"/>
  <c r="F18" i="89"/>
  <c r="D18" i="89"/>
  <c r="V16" i="89"/>
  <c r="P16" i="89"/>
  <c r="F16" i="89"/>
  <c r="X14" i="89"/>
  <c r="T14" i="89"/>
  <c r="Z14" i="89" s="1"/>
  <c r="R14" i="89"/>
  <c r="P14" i="89"/>
  <c r="N14" i="89"/>
  <c r="H14" i="89"/>
  <c r="F14" i="89"/>
  <c r="D14" i="89"/>
  <c r="T12" i="89"/>
  <c r="P12" i="89"/>
  <c r="R32" i="89" s="1"/>
  <c r="H12" i="89"/>
  <c r="D12" i="89"/>
  <c r="F25" i="89" s="1"/>
  <c r="D6" i="89"/>
  <c r="D4" i="89"/>
  <c r="Z34" i="88"/>
  <c r="X34" i="88"/>
  <c r="N34" i="88"/>
  <c r="L34" i="88"/>
  <c r="J32" i="88"/>
  <c r="Z30" i="88"/>
  <c r="X30" i="88"/>
  <c r="T30" i="88"/>
  <c r="P30" i="88"/>
  <c r="L30" i="88"/>
  <c r="H30" i="88"/>
  <c r="N30" i="88" s="1"/>
  <c r="D30" i="88"/>
  <c r="B30" i="88"/>
  <c r="V29" i="88"/>
  <c r="T29" i="88"/>
  <c r="Z29" i="88" s="1"/>
  <c r="P29" i="88"/>
  <c r="F29" i="88"/>
  <c r="D29" i="88"/>
  <c r="Z27" i="88"/>
  <c r="X27" i="88"/>
  <c r="R27" i="88"/>
  <c r="N27" i="88"/>
  <c r="L27" i="88"/>
  <c r="F27" i="88"/>
  <c r="B27" i="88"/>
  <c r="T26" i="88"/>
  <c r="P26" i="88"/>
  <c r="X26" i="88" s="1"/>
  <c r="N26" i="88"/>
  <c r="L26" i="88"/>
  <c r="H26" i="88"/>
  <c r="F26" i="88"/>
  <c r="D26" i="88"/>
  <c r="B26" i="88"/>
  <c r="X25" i="88"/>
  <c r="Z25" i="88" s="1"/>
  <c r="L25" i="88"/>
  <c r="N25" i="88" s="1"/>
  <c r="B25" i="88"/>
  <c r="Z24" i="88"/>
  <c r="X24" i="88"/>
  <c r="T24" i="88"/>
  <c r="P24" i="88"/>
  <c r="L24" i="88"/>
  <c r="H24" i="88"/>
  <c r="D24" i="88"/>
  <c r="B24" i="88"/>
  <c r="Z23" i="88"/>
  <c r="X23" i="88"/>
  <c r="R23" i="88"/>
  <c r="N23" i="88"/>
  <c r="L23" i="88"/>
  <c r="B23" i="88"/>
  <c r="X22" i="88"/>
  <c r="T22" i="88"/>
  <c r="Z22" i="88" s="1"/>
  <c r="P22" i="88"/>
  <c r="H22" i="88"/>
  <c r="N22" i="88" s="1"/>
  <c r="D22" i="88"/>
  <c r="L22" i="88" s="1"/>
  <c r="B22" i="88"/>
  <c r="X21" i="88"/>
  <c r="Z21" i="88" s="1"/>
  <c r="N21" i="88"/>
  <c r="L21" i="88"/>
  <c r="B21" i="88"/>
  <c r="X20" i="88"/>
  <c r="Z20" i="88" s="1"/>
  <c r="N20" i="88"/>
  <c r="L20" i="88"/>
  <c r="F20" i="88"/>
  <c r="B20" i="88"/>
  <c r="T19" i="88"/>
  <c r="P19" i="88"/>
  <c r="N19" i="88"/>
  <c r="H19" i="88"/>
  <c r="D19" i="88"/>
  <c r="L19" i="88" s="1"/>
  <c r="B19" i="88"/>
  <c r="X18" i="88"/>
  <c r="V18" i="88"/>
  <c r="T18" i="88"/>
  <c r="Z18" i="88" s="1"/>
  <c r="P18" i="88"/>
  <c r="H18" i="88"/>
  <c r="F18" i="88"/>
  <c r="D18" i="88"/>
  <c r="L18" i="88" s="1"/>
  <c r="N18" i="88" s="1"/>
  <c r="V16" i="88"/>
  <c r="P16" i="88"/>
  <c r="F16" i="88"/>
  <c r="X14" i="88"/>
  <c r="T14" i="88"/>
  <c r="Z14" i="88" s="1"/>
  <c r="P14" i="88"/>
  <c r="H14" i="88"/>
  <c r="N14" i="88" s="1"/>
  <c r="F14" i="88"/>
  <c r="D14" i="88"/>
  <c r="L14" i="88" s="1"/>
  <c r="T12" i="88"/>
  <c r="V23" i="88" s="1"/>
  <c r="P12" i="88"/>
  <c r="R34" i="88" s="1"/>
  <c r="L12" i="88"/>
  <c r="H12" i="88"/>
  <c r="D12" i="88"/>
  <c r="F23" i="88" s="1"/>
  <c r="D6" i="88"/>
  <c r="D4" i="88"/>
  <c r="R29" i="87"/>
  <c r="Z27" i="87"/>
  <c r="X27" i="87"/>
  <c r="R27" i="87"/>
  <c r="N27" i="87"/>
  <c r="L27" i="87"/>
  <c r="R25" i="87"/>
  <c r="Z23" i="87"/>
  <c r="X23" i="87"/>
  <c r="T23" i="87"/>
  <c r="R23" i="87"/>
  <c r="P23" i="87"/>
  <c r="L23" i="87"/>
  <c r="H23" i="87"/>
  <c r="N23" i="87" s="1"/>
  <c r="D23" i="87"/>
  <c r="Z21" i="87"/>
  <c r="X21" i="87"/>
  <c r="R21" i="87"/>
  <c r="N21" i="87"/>
  <c r="L21" i="87"/>
  <c r="B21" i="87"/>
  <c r="T20" i="87"/>
  <c r="P20" i="87"/>
  <c r="N20" i="87"/>
  <c r="L20" i="87"/>
  <c r="H20" i="87"/>
  <c r="D20" i="87"/>
  <c r="B20" i="87"/>
  <c r="T19" i="87"/>
  <c r="P19" i="87"/>
  <c r="X19" i="87" s="1"/>
  <c r="N19" i="87"/>
  <c r="L19" i="87"/>
  <c r="H19" i="87"/>
  <c r="D19" i="87"/>
  <c r="T15" i="87"/>
  <c r="Z15" i="87" s="1"/>
  <c r="P15" i="87"/>
  <c r="X15" i="87" s="1"/>
  <c r="N15" i="87"/>
  <c r="L15" i="87"/>
  <c r="H15" i="87"/>
  <c r="D15" i="87"/>
  <c r="X13" i="87"/>
  <c r="T13" i="87"/>
  <c r="P13" i="87"/>
  <c r="P12" i="87" s="1"/>
  <c r="H13" i="87"/>
  <c r="D13" i="87"/>
  <c r="B13" i="87"/>
  <c r="D6" i="87"/>
  <c r="D4" i="87"/>
  <c r="V70" i="86"/>
  <c r="Z68" i="86"/>
  <c r="X68" i="86"/>
  <c r="R68" i="86"/>
  <c r="N68" i="86"/>
  <c r="L68" i="86"/>
  <c r="V64" i="86"/>
  <c r="T64" i="86"/>
  <c r="P64" i="86"/>
  <c r="H64" i="86"/>
  <c r="N64" i="86" s="1"/>
  <c r="D64" i="86"/>
  <c r="D63" i="86" s="1"/>
  <c r="L63" i="86" s="1"/>
  <c r="B64" i="86"/>
  <c r="V63" i="86"/>
  <c r="P63" i="86"/>
  <c r="N63" i="86"/>
  <c r="H63" i="86"/>
  <c r="X61" i="86"/>
  <c r="Z61" i="86" s="1"/>
  <c r="V61" i="86"/>
  <c r="N61" i="86"/>
  <c r="L61" i="86"/>
  <c r="J61" i="86"/>
  <c r="B61" i="86"/>
  <c r="X60" i="86"/>
  <c r="Z60" i="86" s="1"/>
  <c r="T60" i="86"/>
  <c r="P60" i="86"/>
  <c r="J60" i="86"/>
  <c r="H60" i="86"/>
  <c r="D60" i="86"/>
  <c r="B60" i="86"/>
  <c r="Z59" i="86"/>
  <c r="X59" i="86"/>
  <c r="N59" i="86"/>
  <c r="L59" i="86"/>
  <c r="B59" i="86"/>
  <c r="Z58" i="86"/>
  <c r="X58" i="86"/>
  <c r="V58" i="86"/>
  <c r="N58" i="86"/>
  <c r="L58" i="86"/>
  <c r="F58" i="86"/>
  <c r="B58" i="86"/>
  <c r="Z57" i="86"/>
  <c r="X57" i="86"/>
  <c r="V57" i="86"/>
  <c r="N57" i="86"/>
  <c r="L57" i="86"/>
  <c r="B57" i="86"/>
  <c r="Z56" i="86"/>
  <c r="X56" i="86"/>
  <c r="N56" i="86"/>
  <c r="L56" i="86"/>
  <c r="B56" i="86"/>
  <c r="Z55" i="86"/>
  <c r="X55" i="86"/>
  <c r="N55" i="86"/>
  <c r="L55" i="86"/>
  <c r="F55" i="86"/>
  <c r="B55" i="86"/>
  <c r="T54" i="86"/>
  <c r="Z54" i="86" s="1"/>
  <c r="P54" i="86"/>
  <c r="X54" i="86" s="1"/>
  <c r="N54" i="86"/>
  <c r="H54" i="86"/>
  <c r="D54" i="86"/>
  <c r="L54" i="86" s="1"/>
  <c r="B54" i="86"/>
  <c r="Z53" i="86"/>
  <c r="X53" i="86"/>
  <c r="V53" i="86"/>
  <c r="N53" i="86"/>
  <c r="L53" i="86"/>
  <c r="J53" i="86"/>
  <c r="B53" i="86"/>
  <c r="Z52" i="86"/>
  <c r="T52" i="86"/>
  <c r="P52" i="86"/>
  <c r="X52" i="86" s="1"/>
  <c r="H52" i="86"/>
  <c r="D52" i="86"/>
  <c r="B52" i="86"/>
  <c r="Z51" i="86"/>
  <c r="X51" i="86"/>
  <c r="N51" i="86"/>
  <c r="L51" i="86"/>
  <c r="B51" i="86"/>
  <c r="V50" i="86"/>
  <c r="T50" i="86"/>
  <c r="P50" i="86"/>
  <c r="H50" i="86"/>
  <c r="N50" i="86" s="1"/>
  <c r="D50" i="86"/>
  <c r="L50" i="86" s="1"/>
  <c r="B50" i="86"/>
  <c r="Z49" i="86"/>
  <c r="X49" i="86"/>
  <c r="V49" i="86"/>
  <c r="N49" i="86"/>
  <c r="L49" i="86"/>
  <c r="J49" i="86"/>
  <c r="B49" i="86"/>
  <c r="X48" i="86"/>
  <c r="Z48" i="86" s="1"/>
  <c r="N48" i="86"/>
  <c r="L48" i="86"/>
  <c r="B48" i="86"/>
  <c r="T47" i="86"/>
  <c r="Z47" i="86" s="1"/>
  <c r="P47" i="86"/>
  <c r="X47" i="86" s="1"/>
  <c r="N47" i="86"/>
  <c r="J47" i="86"/>
  <c r="H47" i="86"/>
  <c r="D47" i="86"/>
  <c r="L47" i="86" s="1"/>
  <c r="B47" i="86"/>
  <c r="Z46" i="86"/>
  <c r="X46" i="86"/>
  <c r="N46" i="86"/>
  <c r="L46" i="86"/>
  <c r="J46" i="86"/>
  <c r="F46" i="86"/>
  <c r="B46" i="86"/>
  <c r="V45" i="86"/>
  <c r="T45" i="86"/>
  <c r="P45" i="86"/>
  <c r="X45" i="86" s="1"/>
  <c r="Z45" i="86" s="1"/>
  <c r="N45" i="86"/>
  <c r="L45" i="86"/>
  <c r="H45" i="86"/>
  <c r="F45" i="86"/>
  <c r="D45" i="86"/>
  <c r="B45" i="86"/>
  <c r="Z44" i="86"/>
  <c r="X44" i="86"/>
  <c r="N44" i="86"/>
  <c r="L44" i="86"/>
  <c r="B44" i="86"/>
  <c r="Z43" i="86"/>
  <c r="X43" i="86"/>
  <c r="T43" i="86"/>
  <c r="P43" i="86"/>
  <c r="L43" i="86"/>
  <c r="J43" i="86"/>
  <c r="H43" i="86"/>
  <c r="N43" i="86" s="1"/>
  <c r="D43" i="86"/>
  <c r="B43" i="86"/>
  <c r="Z42" i="86"/>
  <c r="X42" i="86"/>
  <c r="V42" i="86"/>
  <c r="N42" i="86"/>
  <c r="L42" i="86"/>
  <c r="F42" i="86"/>
  <c r="B42" i="86"/>
  <c r="X41" i="86"/>
  <c r="V41" i="86"/>
  <c r="T41" i="86"/>
  <c r="Z41" i="86" s="1"/>
  <c r="P41" i="86"/>
  <c r="N41" i="86"/>
  <c r="H41" i="86"/>
  <c r="F41" i="86"/>
  <c r="D41" i="86"/>
  <c r="B41" i="86"/>
  <c r="X40" i="86"/>
  <c r="Z40" i="86" s="1"/>
  <c r="L40" i="86"/>
  <c r="N40" i="86" s="1"/>
  <c r="B40" i="86"/>
  <c r="Z39" i="86"/>
  <c r="X39" i="86"/>
  <c r="N39" i="86"/>
  <c r="L39" i="86"/>
  <c r="B39" i="86"/>
  <c r="V38" i="86"/>
  <c r="T38" i="86"/>
  <c r="P38" i="86"/>
  <c r="L38" i="86"/>
  <c r="N38" i="86" s="1"/>
  <c r="H38" i="86"/>
  <c r="D38" i="86"/>
  <c r="B38" i="86"/>
  <c r="Z37" i="86"/>
  <c r="X37" i="86"/>
  <c r="V37" i="86"/>
  <c r="N37" i="86"/>
  <c r="L37" i="86"/>
  <c r="B37" i="86"/>
  <c r="T36" i="86"/>
  <c r="Z36" i="86" s="1"/>
  <c r="R36" i="86"/>
  <c r="P36" i="86"/>
  <c r="X36" i="86" s="1"/>
  <c r="H36" i="86"/>
  <c r="N36" i="86" s="1"/>
  <c r="D36" i="86"/>
  <c r="B36" i="86"/>
  <c r="Z35" i="86"/>
  <c r="X35" i="86"/>
  <c r="N35" i="86"/>
  <c r="L35" i="86"/>
  <c r="F35" i="86"/>
  <c r="B35" i="86"/>
  <c r="T34" i="86"/>
  <c r="Z34" i="86" s="1"/>
  <c r="P34" i="86"/>
  <c r="X34" i="86" s="1"/>
  <c r="N34" i="86"/>
  <c r="H34" i="86"/>
  <c r="D34" i="86"/>
  <c r="L34" i="86" s="1"/>
  <c r="B34" i="86"/>
  <c r="Z33" i="86"/>
  <c r="X33" i="86"/>
  <c r="V33" i="86"/>
  <c r="N33" i="86"/>
  <c r="L33" i="86"/>
  <c r="B33" i="86"/>
  <c r="Z32" i="86"/>
  <c r="X32" i="86"/>
  <c r="V32" i="86"/>
  <c r="N32" i="86"/>
  <c r="L32" i="86"/>
  <c r="B32" i="86"/>
  <c r="Z31" i="86"/>
  <c r="X31" i="86"/>
  <c r="N31" i="86"/>
  <c r="L31" i="86"/>
  <c r="B31" i="86"/>
  <c r="Z30" i="86"/>
  <c r="X30" i="86"/>
  <c r="N30" i="86"/>
  <c r="L30" i="86"/>
  <c r="J30" i="86"/>
  <c r="B30" i="86"/>
  <c r="V29" i="86"/>
  <c r="T29" i="86"/>
  <c r="P29" i="86"/>
  <c r="X29" i="86" s="1"/>
  <c r="N29" i="86"/>
  <c r="L29" i="86"/>
  <c r="H29" i="86"/>
  <c r="D29" i="86"/>
  <c r="B29" i="86"/>
  <c r="Z28" i="86"/>
  <c r="X28" i="86"/>
  <c r="V28" i="86"/>
  <c r="N28" i="86"/>
  <c r="L28" i="86"/>
  <c r="B28" i="86"/>
  <c r="Z27" i="86"/>
  <c r="X27" i="86"/>
  <c r="N27" i="86"/>
  <c r="L27" i="86"/>
  <c r="F27" i="86"/>
  <c r="B27" i="86"/>
  <c r="Z26" i="86"/>
  <c r="X26" i="86"/>
  <c r="N26" i="86"/>
  <c r="L26" i="86"/>
  <c r="F26" i="86"/>
  <c r="B26" i="86"/>
  <c r="X25" i="86"/>
  <c r="Z25" i="86" s="1"/>
  <c r="V25" i="86"/>
  <c r="N25" i="86"/>
  <c r="L25" i="86"/>
  <c r="B25" i="86"/>
  <c r="Z24" i="86"/>
  <c r="X24" i="86"/>
  <c r="N24" i="86"/>
  <c r="L24" i="86"/>
  <c r="B24" i="86"/>
  <c r="Z23" i="86"/>
  <c r="X23" i="86"/>
  <c r="N23" i="86"/>
  <c r="L23" i="86"/>
  <c r="B23" i="86"/>
  <c r="Z22" i="86"/>
  <c r="X22" i="86"/>
  <c r="V22" i="86"/>
  <c r="N22" i="86"/>
  <c r="L22" i="86"/>
  <c r="F22" i="86"/>
  <c r="B22" i="86"/>
  <c r="X21" i="86"/>
  <c r="Z21" i="86" s="1"/>
  <c r="V21" i="86"/>
  <c r="N21" i="86"/>
  <c r="L21" i="86"/>
  <c r="J21" i="86"/>
  <c r="B21" i="86"/>
  <c r="X20" i="86"/>
  <c r="Z20" i="86" s="1"/>
  <c r="V20" i="86"/>
  <c r="T20" i="86"/>
  <c r="P20" i="86"/>
  <c r="H20" i="86"/>
  <c r="D20" i="86"/>
  <c r="B20" i="86"/>
  <c r="Z19" i="86"/>
  <c r="T19" i="86"/>
  <c r="P19" i="86"/>
  <c r="X19" i="86" s="1"/>
  <c r="H19" i="86"/>
  <c r="D19" i="86"/>
  <c r="L19" i="86" s="1"/>
  <c r="R17" i="86"/>
  <c r="Z15" i="86"/>
  <c r="X15" i="86"/>
  <c r="V15" i="86"/>
  <c r="R15" i="86"/>
  <c r="N15" i="86"/>
  <c r="L15" i="86"/>
  <c r="B15" i="86"/>
  <c r="V14" i="86"/>
  <c r="T14" i="86"/>
  <c r="P14" i="86"/>
  <c r="H14" i="86"/>
  <c r="N14" i="86" s="1"/>
  <c r="F14" i="86"/>
  <c r="D14" i="86"/>
  <c r="L14" i="86" s="1"/>
  <c r="Z12" i="86"/>
  <c r="T12" i="86"/>
  <c r="V60" i="86" s="1"/>
  <c r="P12" i="86"/>
  <c r="R59" i="86" s="1"/>
  <c r="H12" i="86"/>
  <c r="J57" i="86" s="1"/>
  <c r="D12" i="86"/>
  <c r="D6" i="86"/>
  <c r="D4" i="86"/>
  <c r="X85" i="85"/>
  <c r="Z85" i="85" s="1"/>
  <c r="L85" i="85"/>
  <c r="N85" i="85" s="1"/>
  <c r="Z81" i="85"/>
  <c r="T81" i="85"/>
  <c r="P81" i="85"/>
  <c r="P80" i="85" s="1"/>
  <c r="X80" i="85" s="1"/>
  <c r="H81" i="85"/>
  <c r="D81" i="85"/>
  <c r="B81" i="85"/>
  <c r="Z80" i="85"/>
  <c r="T80" i="85"/>
  <c r="D80" i="85"/>
  <c r="Z78" i="85"/>
  <c r="X78" i="85"/>
  <c r="N78" i="85"/>
  <c r="L78" i="85"/>
  <c r="B78" i="85"/>
  <c r="T77" i="85"/>
  <c r="P77" i="85"/>
  <c r="L77" i="85"/>
  <c r="N77" i="85" s="1"/>
  <c r="H77" i="85"/>
  <c r="D77" i="85"/>
  <c r="B77" i="85"/>
  <c r="X76" i="85"/>
  <c r="Z76" i="85" s="1"/>
  <c r="N76" i="85"/>
  <c r="L76" i="85"/>
  <c r="B76" i="85"/>
  <c r="Z75" i="85"/>
  <c r="T75" i="85"/>
  <c r="P75" i="85"/>
  <c r="X75" i="85" s="1"/>
  <c r="H75" i="85"/>
  <c r="D75" i="85"/>
  <c r="B75" i="85"/>
  <c r="Z74" i="85"/>
  <c r="X74" i="85"/>
  <c r="N74" i="85"/>
  <c r="L74" i="85"/>
  <c r="B74" i="85"/>
  <c r="T73" i="85"/>
  <c r="P73" i="85"/>
  <c r="L73" i="85"/>
  <c r="H73" i="85"/>
  <c r="D73" i="85"/>
  <c r="B73" i="85"/>
  <c r="Z72" i="85"/>
  <c r="X72" i="85"/>
  <c r="L72" i="85"/>
  <c r="N72" i="85" s="1"/>
  <c r="B72" i="85"/>
  <c r="X71" i="85"/>
  <c r="Z71" i="85" s="1"/>
  <c r="L71" i="85"/>
  <c r="N71" i="85" s="1"/>
  <c r="B71" i="85"/>
  <c r="Z70" i="85"/>
  <c r="X70" i="85"/>
  <c r="N70" i="85"/>
  <c r="L70" i="85"/>
  <c r="B70" i="85"/>
  <c r="X69" i="85"/>
  <c r="Z69" i="85" s="1"/>
  <c r="R69" i="85"/>
  <c r="N69" i="85"/>
  <c r="L69" i="85"/>
  <c r="B69" i="85"/>
  <c r="X68" i="85"/>
  <c r="Z68" i="85" s="1"/>
  <c r="N68" i="85"/>
  <c r="L68" i="85"/>
  <c r="B68" i="85"/>
  <c r="Z67" i="85"/>
  <c r="X67" i="85"/>
  <c r="N67" i="85"/>
  <c r="L67" i="85"/>
  <c r="B67" i="85"/>
  <c r="Z66" i="85"/>
  <c r="X66" i="85"/>
  <c r="T66" i="85"/>
  <c r="P66" i="85"/>
  <c r="L66" i="85"/>
  <c r="H66" i="85"/>
  <c r="N66" i="85" s="1"/>
  <c r="D66" i="85"/>
  <c r="B66" i="85"/>
  <c r="X65" i="85"/>
  <c r="Z65" i="85" s="1"/>
  <c r="N65" i="85"/>
  <c r="L65" i="85"/>
  <c r="B65" i="85"/>
  <c r="X64" i="85"/>
  <c r="T64" i="85"/>
  <c r="Z64" i="85" s="1"/>
  <c r="P64" i="85"/>
  <c r="H64" i="85"/>
  <c r="N64" i="85" s="1"/>
  <c r="D64" i="85"/>
  <c r="B64" i="85"/>
  <c r="X63" i="85"/>
  <c r="Z63" i="85" s="1"/>
  <c r="N63" i="85"/>
  <c r="L63" i="85"/>
  <c r="B63" i="85"/>
  <c r="Z62" i="85"/>
  <c r="X62" i="85"/>
  <c r="N62" i="85"/>
  <c r="L62" i="85"/>
  <c r="B62" i="85"/>
  <c r="Z61" i="85"/>
  <c r="X61" i="85"/>
  <c r="L61" i="85"/>
  <c r="N61" i="85" s="1"/>
  <c r="B61" i="85"/>
  <c r="X60" i="85"/>
  <c r="Z60" i="85" s="1"/>
  <c r="V60" i="85"/>
  <c r="N60" i="85"/>
  <c r="L60" i="85"/>
  <c r="B60" i="85"/>
  <c r="T59" i="85"/>
  <c r="P59" i="85"/>
  <c r="X59" i="85" s="1"/>
  <c r="H59" i="85"/>
  <c r="D59" i="85"/>
  <c r="B59" i="85"/>
  <c r="Z58" i="85"/>
  <c r="X58" i="85"/>
  <c r="R58" i="85"/>
  <c r="N58" i="85"/>
  <c r="L58" i="85"/>
  <c r="B58" i="85"/>
  <c r="X57" i="85"/>
  <c r="Z57" i="85" s="1"/>
  <c r="N57" i="85"/>
  <c r="L57" i="85"/>
  <c r="B57" i="85"/>
  <c r="X56" i="85"/>
  <c r="T56" i="85"/>
  <c r="Z56" i="85" s="1"/>
  <c r="P56" i="85"/>
  <c r="H56" i="85"/>
  <c r="D56" i="85"/>
  <c r="B56" i="85"/>
  <c r="X55" i="85"/>
  <c r="Z55" i="85" s="1"/>
  <c r="L55" i="85"/>
  <c r="N55" i="85" s="1"/>
  <c r="F55" i="85"/>
  <c r="B55" i="85"/>
  <c r="Z54" i="85"/>
  <c r="T54" i="85"/>
  <c r="P54" i="85"/>
  <c r="X54" i="85" s="1"/>
  <c r="H54" i="85"/>
  <c r="D54" i="85"/>
  <c r="L54" i="85" s="1"/>
  <c r="N54" i="85" s="1"/>
  <c r="B54" i="85"/>
  <c r="X53" i="85"/>
  <c r="Z53" i="85" s="1"/>
  <c r="N53" i="85"/>
  <c r="L53" i="85"/>
  <c r="B53" i="85"/>
  <c r="Z52" i="85"/>
  <c r="T52" i="85"/>
  <c r="P52" i="85"/>
  <c r="X52" i="85" s="1"/>
  <c r="N52" i="85"/>
  <c r="L52" i="85"/>
  <c r="H52" i="85"/>
  <c r="D52" i="85"/>
  <c r="B52" i="85"/>
  <c r="Z51" i="85"/>
  <c r="X51" i="85"/>
  <c r="R51" i="85"/>
  <c r="N51" i="85"/>
  <c r="L51" i="85"/>
  <c r="B51" i="85"/>
  <c r="Z50" i="85"/>
  <c r="X50" i="85"/>
  <c r="T50" i="85"/>
  <c r="R50" i="85"/>
  <c r="P50" i="85"/>
  <c r="L50" i="85"/>
  <c r="H50" i="85"/>
  <c r="N50" i="85" s="1"/>
  <c r="D50" i="85"/>
  <c r="B50" i="85"/>
  <c r="Z49" i="85"/>
  <c r="X49" i="85"/>
  <c r="R49" i="85"/>
  <c r="N49" i="85"/>
  <c r="L49" i="85"/>
  <c r="B49" i="85"/>
  <c r="X48" i="85"/>
  <c r="T48" i="85"/>
  <c r="Z48" i="85" s="1"/>
  <c r="R48" i="85"/>
  <c r="P48" i="85"/>
  <c r="H48" i="85"/>
  <c r="N48" i="85" s="1"/>
  <c r="D48" i="85"/>
  <c r="L48" i="85" s="1"/>
  <c r="B48" i="85"/>
  <c r="X47" i="85"/>
  <c r="Z47" i="85" s="1"/>
  <c r="N47" i="85"/>
  <c r="L47" i="85"/>
  <c r="B47" i="85"/>
  <c r="T46" i="85"/>
  <c r="Z46" i="85" s="1"/>
  <c r="R46" i="85"/>
  <c r="P46" i="85"/>
  <c r="X46" i="85" s="1"/>
  <c r="N46" i="85"/>
  <c r="H46" i="85"/>
  <c r="D46" i="85"/>
  <c r="L46" i="85" s="1"/>
  <c r="B46" i="85"/>
  <c r="X45" i="85"/>
  <c r="Z45" i="85" s="1"/>
  <c r="R45" i="85"/>
  <c r="N45" i="85"/>
  <c r="L45" i="85"/>
  <c r="B45" i="85"/>
  <c r="Z44" i="85"/>
  <c r="X44" i="85"/>
  <c r="L44" i="85"/>
  <c r="N44" i="85" s="1"/>
  <c r="B44" i="85"/>
  <c r="T43" i="85"/>
  <c r="P43" i="85"/>
  <c r="X43" i="85" s="1"/>
  <c r="Z43" i="85" s="1"/>
  <c r="L43" i="85"/>
  <c r="H43" i="85"/>
  <c r="D43" i="85"/>
  <c r="B43" i="85"/>
  <c r="Z42" i="85"/>
  <c r="X42" i="85"/>
  <c r="N42" i="85"/>
  <c r="L42" i="85"/>
  <c r="B42" i="85"/>
  <c r="X41" i="85"/>
  <c r="T41" i="85"/>
  <c r="P41" i="85"/>
  <c r="H41" i="85"/>
  <c r="D41" i="85"/>
  <c r="L41" i="85" s="1"/>
  <c r="B41" i="85"/>
  <c r="X40" i="85"/>
  <c r="Z40" i="85" s="1"/>
  <c r="N40" i="85"/>
  <c r="L40" i="85"/>
  <c r="B40" i="85"/>
  <c r="X39" i="85"/>
  <c r="Z39" i="85" s="1"/>
  <c r="T39" i="85"/>
  <c r="P39" i="85"/>
  <c r="H39" i="85"/>
  <c r="N39" i="85" s="1"/>
  <c r="D39" i="85"/>
  <c r="L39" i="85" s="1"/>
  <c r="B39" i="85"/>
  <c r="Z38" i="85"/>
  <c r="X38" i="85"/>
  <c r="N38" i="85"/>
  <c r="L38" i="85"/>
  <c r="B38" i="85"/>
  <c r="T37" i="85"/>
  <c r="P37" i="85"/>
  <c r="X37" i="85" s="1"/>
  <c r="L37" i="85"/>
  <c r="N37" i="85" s="1"/>
  <c r="H37" i="85"/>
  <c r="D37" i="85"/>
  <c r="B37" i="85"/>
  <c r="Z36" i="85"/>
  <c r="X36" i="85"/>
  <c r="L36" i="85"/>
  <c r="N36" i="85" s="1"/>
  <c r="B36" i="85"/>
  <c r="X35" i="85"/>
  <c r="Z35" i="85" s="1"/>
  <c r="N35" i="85"/>
  <c r="L35" i="85"/>
  <c r="B35" i="85"/>
  <c r="Z34" i="85"/>
  <c r="X34" i="85"/>
  <c r="R34" i="85"/>
  <c r="N34" i="85"/>
  <c r="L34" i="85"/>
  <c r="B34" i="85"/>
  <c r="X33" i="85"/>
  <c r="Z33" i="85" s="1"/>
  <c r="L33" i="85"/>
  <c r="N33" i="85" s="1"/>
  <c r="B33" i="85"/>
  <c r="X32" i="85"/>
  <c r="T32" i="85"/>
  <c r="Z32" i="85" s="1"/>
  <c r="R32" i="85"/>
  <c r="P32" i="85"/>
  <c r="H32" i="85"/>
  <c r="D32" i="85"/>
  <c r="L32" i="85" s="1"/>
  <c r="N32" i="85" s="1"/>
  <c r="B32" i="85"/>
  <c r="X31" i="85"/>
  <c r="Z31" i="85" s="1"/>
  <c r="N31" i="85"/>
  <c r="L31" i="85"/>
  <c r="F31" i="85"/>
  <c r="B31" i="85"/>
  <c r="Z30" i="85"/>
  <c r="X30" i="85"/>
  <c r="R30" i="85"/>
  <c r="N30" i="85"/>
  <c r="L30" i="85"/>
  <c r="B30" i="85"/>
  <c r="Z29" i="85"/>
  <c r="X29" i="85"/>
  <c r="R29" i="85"/>
  <c r="L29" i="85"/>
  <c r="N29" i="85" s="1"/>
  <c r="B29" i="85"/>
  <c r="X28" i="85"/>
  <c r="Z28" i="85" s="1"/>
  <c r="N28" i="85"/>
  <c r="L28" i="85"/>
  <c r="B28" i="85"/>
  <c r="Z27" i="85"/>
  <c r="X27" i="85"/>
  <c r="R27" i="85"/>
  <c r="L27" i="85"/>
  <c r="N27" i="85" s="1"/>
  <c r="B27" i="85"/>
  <c r="Z26" i="85"/>
  <c r="X26" i="85"/>
  <c r="N26" i="85"/>
  <c r="L26" i="85"/>
  <c r="F26" i="85"/>
  <c r="B26" i="85"/>
  <c r="X25" i="85"/>
  <c r="Z25" i="85" s="1"/>
  <c r="R25" i="85"/>
  <c r="N25" i="85"/>
  <c r="L25" i="85"/>
  <c r="B25" i="85"/>
  <c r="Z24" i="85"/>
  <c r="X24" i="85"/>
  <c r="L24" i="85"/>
  <c r="N24" i="85" s="1"/>
  <c r="B24" i="85"/>
  <c r="T23" i="85"/>
  <c r="P23" i="85"/>
  <c r="X23" i="85" s="1"/>
  <c r="Z23" i="85" s="1"/>
  <c r="L23" i="85"/>
  <c r="H23" i="85"/>
  <c r="D23" i="85"/>
  <c r="B23" i="85"/>
  <c r="T22" i="85"/>
  <c r="R22" i="85"/>
  <c r="P22" i="85"/>
  <c r="X22" i="85" s="1"/>
  <c r="Z22" i="85" s="1"/>
  <c r="L22" i="85"/>
  <c r="H22" i="85"/>
  <c r="D22" i="85"/>
  <c r="Z18" i="85"/>
  <c r="X18" i="85"/>
  <c r="N18" i="85"/>
  <c r="L18" i="85"/>
  <c r="B18" i="85"/>
  <c r="X17" i="85"/>
  <c r="Z17" i="85" s="1"/>
  <c r="N17" i="85"/>
  <c r="L17" i="85"/>
  <c r="B17" i="85"/>
  <c r="T16" i="85"/>
  <c r="P16" i="85"/>
  <c r="X16" i="85" s="1"/>
  <c r="Z16" i="85" s="1"/>
  <c r="H16" i="85"/>
  <c r="L16" i="85" s="1"/>
  <c r="N16" i="85" s="1"/>
  <c r="D16" i="85"/>
  <c r="X14" i="85"/>
  <c r="T14" i="85"/>
  <c r="P14" i="85"/>
  <c r="H14" i="85"/>
  <c r="D14" i="85"/>
  <c r="B14" i="85"/>
  <c r="T13" i="85"/>
  <c r="P13" i="85"/>
  <c r="X13" i="85" s="1"/>
  <c r="Z13" i="85" s="1"/>
  <c r="N13" i="85"/>
  <c r="L13" i="85"/>
  <c r="H13" i="85"/>
  <c r="D13" i="85"/>
  <c r="B13" i="85"/>
  <c r="T12" i="85"/>
  <c r="V22" i="85" s="1"/>
  <c r="P12" i="85"/>
  <c r="D12" i="85"/>
  <c r="D6" i="85"/>
  <c r="D4" i="85"/>
  <c r="F41" i="84"/>
  <c r="Z36" i="84"/>
  <c r="X36" i="84"/>
  <c r="L36" i="84"/>
  <c r="N36" i="84" s="1"/>
  <c r="X32" i="84"/>
  <c r="T32" i="84"/>
  <c r="Z32" i="84" s="1"/>
  <c r="P32" i="84"/>
  <c r="H32" i="84"/>
  <c r="N32" i="84" s="1"/>
  <c r="D32" i="84"/>
  <c r="Z30" i="84"/>
  <c r="X30" i="84"/>
  <c r="N30" i="84"/>
  <c r="L30" i="84"/>
  <c r="B30" i="84"/>
  <c r="X29" i="84"/>
  <c r="Z29" i="84" s="1"/>
  <c r="N29" i="84"/>
  <c r="L29" i="84"/>
  <c r="B29" i="84"/>
  <c r="Z28" i="84"/>
  <c r="T28" i="84"/>
  <c r="P28" i="84"/>
  <c r="X28" i="84" s="1"/>
  <c r="N28" i="84"/>
  <c r="H28" i="84"/>
  <c r="D28" i="84"/>
  <c r="L28" i="84" s="1"/>
  <c r="B28" i="84"/>
  <c r="X27" i="84"/>
  <c r="Z27" i="84" s="1"/>
  <c r="N27" i="84"/>
  <c r="L27" i="84"/>
  <c r="F27" i="84"/>
  <c r="B27" i="84"/>
  <c r="X26" i="84"/>
  <c r="Z26" i="84" s="1"/>
  <c r="T26" i="84"/>
  <c r="P26" i="84"/>
  <c r="L26" i="84"/>
  <c r="H26" i="84"/>
  <c r="N26" i="84" s="1"/>
  <c r="D26" i="84"/>
  <c r="B26" i="84"/>
  <c r="Z25" i="84"/>
  <c r="X25" i="84"/>
  <c r="N25" i="84"/>
  <c r="L25" i="84"/>
  <c r="B25" i="84"/>
  <c r="T24" i="84"/>
  <c r="X24" i="84" s="1"/>
  <c r="P24" i="84"/>
  <c r="L24" i="84"/>
  <c r="H24" i="84"/>
  <c r="N24" i="84" s="1"/>
  <c r="D24" i="84"/>
  <c r="B24" i="84"/>
  <c r="Z23" i="84"/>
  <c r="X23" i="84"/>
  <c r="N23" i="84"/>
  <c r="L23" i="84"/>
  <c r="F23" i="84"/>
  <c r="B23" i="84"/>
  <c r="T22" i="84"/>
  <c r="P22" i="84"/>
  <c r="H22" i="84"/>
  <c r="D22" i="84"/>
  <c r="B22" i="84"/>
  <c r="X21" i="84"/>
  <c r="Z21" i="84" s="1"/>
  <c r="N21" i="84"/>
  <c r="L21" i="84"/>
  <c r="B21" i="84"/>
  <c r="T20" i="84"/>
  <c r="P20" i="84"/>
  <c r="H20" i="84"/>
  <c r="N20" i="84" s="1"/>
  <c r="D20" i="84"/>
  <c r="L20" i="84" s="1"/>
  <c r="B20" i="84"/>
  <c r="T19" i="84"/>
  <c r="P19" i="84"/>
  <c r="N19" i="84"/>
  <c r="H19" i="84"/>
  <c r="D19" i="84"/>
  <c r="L19" i="84" s="1"/>
  <c r="J17" i="84"/>
  <c r="D17" i="84"/>
  <c r="Z15" i="84"/>
  <c r="X15" i="84"/>
  <c r="T15" i="84"/>
  <c r="P15" i="84"/>
  <c r="H15" i="84"/>
  <c r="D15" i="84"/>
  <c r="T13" i="84"/>
  <c r="P13" i="84"/>
  <c r="N13" i="84"/>
  <c r="L13" i="84"/>
  <c r="H13" i="84"/>
  <c r="H12" i="84" s="1"/>
  <c r="D13" i="84"/>
  <c r="B13" i="84"/>
  <c r="T12" i="84"/>
  <c r="D12" i="84"/>
  <c r="D6" i="84"/>
  <c r="D4" i="84"/>
  <c r="V45" i="83"/>
  <c r="J45" i="83"/>
  <c r="F45" i="83"/>
  <c r="R42" i="83"/>
  <c r="Z40" i="83"/>
  <c r="X40" i="83"/>
  <c r="V40" i="83"/>
  <c r="N40" i="83"/>
  <c r="L40" i="83"/>
  <c r="F40" i="83"/>
  <c r="V38" i="83"/>
  <c r="J38" i="83"/>
  <c r="F38" i="83"/>
  <c r="X36" i="83"/>
  <c r="T36" i="83"/>
  <c r="Z36" i="83" s="1"/>
  <c r="R36" i="83"/>
  <c r="P36" i="83"/>
  <c r="H36" i="83"/>
  <c r="N36" i="83" s="1"/>
  <c r="D36" i="83"/>
  <c r="Z34" i="83"/>
  <c r="X34" i="83"/>
  <c r="V34" i="83"/>
  <c r="N34" i="83"/>
  <c r="L34" i="83"/>
  <c r="F34" i="83"/>
  <c r="B34" i="83"/>
  <c r="X33" i="83"/>
  <c r="Z33" i="83" s="1"/>
  <c r="T33" i="83"/>
  <c r="R33" i="83"/>
  <c r="P33" i="83"/>
  <c r="H33" i="83"/>
  <c r="N33" i="83" s="1"/>
  <c r="D33" i="83"/>
  <c r="B33" i="83"/>
  <c r="X32" i="83"/>
  <c r="Z32" i="83" s="1"/>
  <c r="V32" i="83"/>
  <c r="R32" i="83"/>
  <c r="N32" i="83"/>
  <c r="L32" i="83"/>
  <c r="F32" i="83"/>
  <c r="B32" i="83"/>
  <c r="X31" i="83"/>
  <c r="V31" i="83"/>
  <c r="T31" i="83"/>
  <c r="P31" i="83"/>
  <c r="H31" i="83"/>
  <c r="N31" i="83" s="1"/>
  <c r="F31" i="83"/>
  <c r="D31" i="83"/>
  <c r="L31" i="83" s="1"/>
  <c r="B31" i="83"/>
  <c r="X30" i="83"/>
  <c r="Z30" i="83" s="1"/>
  <c r="N30" i="83"/>
  <c r="L30" i="83"/>
  <c r="B30" i="83"/>
  <c r="V29" i="83"/>
  <c r="T29" i="83"/>
  <c r="R29" i="83"/>
  <c r="P29" i="83"/>
  <c r="X29" i="83" s="1"/>
  <c r="N29" i="83"/>
  <c r="H29" i="83"/>
  <c r="F29" i="83"/>
  <c r="D29" i="83"/>
  <c r="L29" i="83" s="1"/>
  <c r="B29" i="83"/>
  <c r="Z28" i="83"/>
  <c r="X28" i="83"/>
  <c r="R28" i="83"/>
  <c r="L28" i="83"/>
  <c r="N28" i="83" s="1"/>
  <c r="J28" i="83"/>
  <c r="F28" i="83"/>
  <c r="B28" i="83"/>
  <c r="V27" i="83"/>
  <c r="T27" i="83"/>
  <c r="P27" i="83"/>
  <c r="X27" i="83" s="1"/>
  <c r="Z27" i="83" s="1"/>
  <c r="L27" i="83"/>
  <c r="N27" i="83" s="1"/>
  <c r="H27" i="83"/>
  <c r="F27" i="83"/>
  <c r="D27" i="83"/>
  <c r="B27" i="83"/>
  <c r="Z26" i="83"/>
  <c r="X26" i="83"/>
  <c r="V26" i="83"/>
  <c r="N26" i="83"/>
  <c r="L26" i="83"/>
  <c r="F26" i="83"/>
  <c r="B26" i="83"/>
  <c r="X25" i="83"/>
  <c r="Z25" i="83" s="1"/>
  <c r="T25" i="83"/>
  <c r="R25" i="83"/>
  <c r="P25" i="83"/>
  <c r="H25" i="83"/>
  <c r="N25" i="83" s="1"/>
  <c r="D25" i="83"/>
  <c r="B25" i="83"/>
  <c r="X24" i="83"/>
  <c r="Z24" i="83" s="1"/>
  <c r="V24" i="83"/>
  <c r="R24" i="83"/>
  <c r="N24" i="83"/>
  <c r="L24" i="83"/>
  <c r="F24" i="83"/>
  <c r="B24" i="83"/>
  <c r="X23" i="83"/>
  <c r="Z23" i="83" s="1"/>
  <c r="V23" i="83"/>
  <c r="R23" i="83"/>
  <c r="N23" i="83"/>
  <c r="L23" i="83"/>
  <c r="B23" i="83"/>
  <c r="Z22" i="83"/>
  <c r="X22" i="83"/>
  <c r="V22" i="83"/>
  <c r="N22" i="83"/>
  <c r="L22" i="83"/>
  <c r="F22" i="83"/>
  <c r="B22" i="83"/>
  <c r="X21" i="83"/>
  <c r="Z21" i="83" s="1"/>
  <c r="N21" i="83"/>
  <c r="L21" i="83"/>
  <c r="F21" i="83"/>
  <c r="B21" i="83"/>
  <c r="Z20" i="83"/>
  <c r="X20" i="83"/>
  <c r="R20" i="83"/>
  <c r="N20" i="83"/>
  <c r="L20" i="83"/>
  <c r="J20" i="83"/>
  <c r="F20" i="83"/>
  <c r="B20" i="83"/>
  <c r="V19" i="83"/>
  <c r="T19" i="83"/>
  <c r="Z19" i="83" s="1"/>
  <c r="P19" i="83"/>
  <c r="X19" i="83" s="1"/>
  <c r="N19" i="83"/>
  <c r="L19" i="83"/>
  <c r="H19" i="83"/>
  <c r="F19" i="83"/>
  <c r="D19" i="83"/>
  <c r="B19" i="83"/>
  <c r="Z18" i="83"/>
  <c r="V18" i="83"/>
  <c r="T18" i="83"/>
  <c r="P18" i="83"/>
  <c r="X18" i="83" s="1"/>
  <c r="J18" i="83"/>
  <c r="H18" i="83"/>
  <c r="F18" i="83"/>
  <c r="D18" i="83"/>
  <c r="T16" i="83"/>
  <c r="T38" i="83" s="1"/>
  <c r="T42" i="83" s="1"/>
  <c r="R16" i="83"/>
  <c r="H16" i="83"/>
  <c r="D16" i="83"/>
  <c r="D38" i="83" s="1"/>
  <c r="Z14" i="83"/>
  <c r="V14" i="83"/>
  <c r="T14" i="83"/>
  <c r="P14" i="83"/>
  <c r="H14" i="83"/>
  <c r="N14" i="83" s="1"/>
  <c r="F14" i="83"/>
  <c r="D14" i="83"/>
  <c r="X12" i="83"/>
  <c r="T12" i="83"/>
  <c r="V33" i="83" s="1"/>
  <c r="P12" i="83"/>
  <c r="R40" i="83" s="1"/>
  <c r="N12" i="83"/>
  <c r="H12" i="83"/>
  <c r="D12" i="83"/>
  <c r="F33" i="83" s="1"/>
  <c r="D6" i="83"/>
  <c r="D4" i="83"/>
  <c r="V40" i="82"/>
  <c r="R40" i="82"/>
  <c r="J37" i="82"/>
  <c r="Z35" i="82"/>
  <c r="X35" i="82"/>
  <c r="V35" i="82"/>
  <c r="R35" i="82"/>
  <c r="N35" i="82"/>
  <c r="L35" i="82"/>
  <c r="F35" i="82"/>
  <c r="V33" i="82"/>
  <c r="R33" i="82"/>
  <c r="T31" i="82"/>
  <c r="Z31" i="82" s="1"/>
  <c r="P31" i="82"/>
  <c r="X31" i="82" s="1"/>
  <c r="N31" i="82"/>
  <c r="J31" i="82"/>
  <c r="H31" i="82"/>
  <c r="D31" i="82"/>
  <c r="L31" i="82" s="1"/>
  <c r="X29" i="82"/>
  <c r="Z29" i="82" s="1"/>
  <c r="V29" i="82"/>
  <c r="R29" i="82"/>
  <c r="N29" i="82"/>
  <c r="L29" i="82"/>
  <c r="F29" i="82"/>
  <c r="B29" i="82"/>
  <c r="X28" i="82"/>
  <c r="V28" i="82"/>
  <c r="T28" i="82"/>
  <c r="P28" i="82"/>
  <c r="H28" i="82"/>
  <c r="D28" i="82"/>
  <c r="L28" i="82" s="1"/>
  <c r="B28" i="82"/>
  <c r="X27" i="82"/>
  <c r="Z27" i="82" s="1"/>
  <c r="R27" i="82"/>
  <c r="N27" i="82"/>
  <c r="L27" i="82"/>
  <c r="J27" i="82"/>
  <c r="B27" i="82"/>
  <c r="V26" i="82"/>
  <c r="T26" i="82"/>
  <c r="R26" i="82"/>
  <c r="P26" i="82"/>
  <c r="J26" i="82"/>
  <c r="H26" i="82"/>
  <c r="N26" i="82" s="1"/>
  <c r="D26" i="82"/>
  <c r="L26" i="82" s="1"/>
  <c r="B26" i="82"/>
  <c r="Z25" i="82"/>
  <c r="X25" i="82"/>
  <c r="R25" i="82"/>
  <c r="N25" i="82"/>
  <c r="L25" i="82"/>
  <c r="J25" i="82"/>
  <c r="B25" i="82"/>
  <c r="Z24" i="82"/>
  <c r="X24" i="82"/>
  <c r="V24" i="82"/>
  <c r="N24" i="82"/>
  <c r="L24" i="82"/>
  <c r="J24" i="82"/>
  <c r="F24" i="82"/>
  <c r="B24" i="82"/>
  <c r="X23" i="82"/>
  <c r="T23" i="82"/>
  <c r="R23" i="82"/>
  <c r="P23" i="82"/>
  <c r="H23" i="82"/>
  <c r="N23" i="82" s="1"/>
  <c r="D23" i="82"/>
  <c r="L23" i="82" s="1"/>
  <c r="B23" i="82"/>
  <c r="X22" i="82"/>
  <c r="Z22" i="82" s="1"/>
  <c r="N22" i="82"/>
  <c r="L22" i="82"/>
  <c r="B22" i="82"/>
  <c r="T21" i="82"/>
  <c r="Z21" i="82" s="1"/>
  <c r="P21" i="82"/>
  <c r="X21" i="82" s="1"/>
  <c r="N21" i="82"/>
  <c r="J21" i="82"/>
  <c r="H21" i="82"/>
  <c r="D21" i="82"/>
  <c r="L21" i="82" s="1"/>
  <c r="B21" i="82"/>
  <c r="X20" i="82"/>
  <c r="Z20" i="82" s="1"/>
  <c r="V20" i="82"/>
  <c r="R20" i="82"/>
  <c r="N20" i="82"/>
  <c r="L20" i="82"/>
  <c r="J20" i="82"/>
  <c r="B20" i="82"/>
  <c r="V19" i="82"/>
  <c r="T19" i="82"/>
  <c r="P19" i="82"/>
  <c r="X19" i="82" s="1"/>
  <c r="Z19" i="82" s="1"/>
  <c r="J19" i="82"/>
  <c r="H19" i="82"/>
  <c r="F19" i="82"/>
  <c r="D19" i="82"/>
  <c r="B19" i="82"/>
  <c r="V18" i="82"/>
  <c r="T18" i="82"/>
  <c r="R18" i="82"/>
  <c r="P18" i="82"/>
  <c r="J18" i="82"/>
  <c r="H18" i="82"/>
  <c r="D18" i="82"/>
  <c r="L18" i="82" s="1"/>
  <c r="R16" i="82"/>
  <c r="J16" i="82"/>
  <c r="H16" i="82"/>
  <c r="V14" i="82"/>
  <c r="T14" i="82"/>
  <c r="Z14" i="82" s="1"/>
  <c r="R14" i="82"/>
  <c r="P14" i="82"/>
  <c r="J14" i="82"/>
  <c r="H14" i="82"/>
  <c r="N14" i="82" s="1"/>
  <c r="D14" i="82"/>
  <c r="L14" i="82" s="1"/>
  <c r="Z12" i="82"/>
  <c r="X12" i="82"/>
  <c r="T12" i="82"/>
  <c r="V22" i="82" s="1"/>
  <c r="P12" i="82"/>
  <c r="R28" i="82" s="1"/>
  <c r="N12" i="82"/>
  <c r="H12" i="82"/>
  <c r="J35" i="82" s="1"/>
  <c r="D12" i="82"/>
  <c r="D6" i="82"/>
  <c r="D4" i="82"/>
  <c r="F79" i="81"/>
  <c r="V76" i="81"/>
  <c r="Z74" i="81"/>
  <c r="X74" i="81"/>
  <c r="V74" i="81"/>
  <c r="N74" i="81"/>
  <c r="L74" i="81"/>
  <c r="J74" i="81"/>
  <c r="V72" i="81"/>
  <c r="T70" i="81"/>
  <c r="P70" i="81"/>
  <c r="H70" i="81"/>
  <c r="F70" i="81"/>
  <c r="D70" i="81"/>
  <c r="B70" i="81"/>
  <c r="T69" i="81"/>
  <c r="R69" i="81"/>
  <c r="P69" i="81"/>
  <c r="H69" i="81"/>
  <c r="N69" i="81" s="1"/>
  <c r="D69" i="81"/>
  <c r="B69" i="81"/>
  <c r="R68" i="81"/>
  <c r="J68" i="81"/>
  <c r="H68" i="81"/>
  <c r="Z66" i="81"/>
  <c r="X66" i="81"/>
  <c r="L66" i="81"/>
  <c r="N66" i="81" s="1"/>
  <c r="B66" i="81"/>
  <c r="T65" i="81"/>
  <c r="P65" i="81"/>
  <c r="H65" i="81"/>
  <c r="F65" i="81"/>
  <c r="D65" i="81"/>
  <c r="L65" i="81" s="1"/>
  <c r="B65" i="81"/>
  <c r="X64" i="81"/>
  <c r="Z64" i="81" s="1"/>
  <c r="N64" i="81"/>
  <c r="L64" i="81"/>
  <c r="J64" i="81"/>
  <c r="F64" i="81"/>
  <c r="B64" i="81"/>
  <c r="Z63" i="81"/>
  <c r="X63" i="81"/>
  <c r="N63" i="81"/>
  <c r="L63" i="81"/>
  <c r="J63" i="81"/>
  <c r="B63" i="81"/>
  <c r="T62" i="81"/>
  <c r="P62" i="81"/>
  <c r="J62" i="81"/>
  <c r="H62" i="81"/>
  <c r="N62" i="81" s="1"/>
  <c r="D62" i="81"/>
  <c r="L62" i="81" s="1"/>
  <c r="B62" i="81"/>
  <c r="Z61" i="81"/>
  <c r="X61" i="81"/>
  <c r="L61" i="81"/>
  <c r="N61" i="81" s="1"/>
  <c r="J61" i="81"/>
  <c r="B61" i="81"/>
  <c r="T60" i="81"/>
  <c r="P60" i="81"/>
  <c r="X60" i="81" s="1"/>
  <c r="L60" i="81"/>
  <c r="N60" i="81" s="1"/>
  <c r="H60" i="81"/>
  <c r="D60" i="81"/>
  <c r="B60" i="81"/>
  <c r="X59" i="81"/>
  <c r="Z59" i="81" s="1"/>
  <c r="N59" i="81"/>
  <c r="L59" i="81"/>
  <c r="B59" i="81"/>
  <c r="X58" i="81"/>
  <c r="Z58" i="81" s="1"/>
  <c r="N58" i="81"/>
  <c r="L58" i="81"/>
  <c r="J58" i="81"/>
  <c r="F58" i="81"/>
  <c r="B58" i="81"/>
  <c r="T57" i="81"/>
  <c r="Z57" i="81" s="1"/>
  <c r="P57" i="81"/>
  <c r="X57" i="81" s="1"/>
  <c r="N57" i="81"/>
  <c r="L57" i="81"/>
  <c r="J57" i="81"/>
  <c r="H57" i="81"/>
  <c r="D57" i="81"/>
  <c r="B57" i="81"/>
  <c r="Z56" i="81"/>
  <c r="X56" i="81"/>
  <c r="V56" i="81"/>
  <c r="R56" i="81"/>
  <c r="N56" i="81"/>
  <c r="L56" i="81"/>
  <c r="J56" i="81"/>
  <c r="B56" i="81"/>
  <c r="X55" i="81"/>
  <c r="Z55" i="81" s="1"/>
  <c r="V55" i="81"/>
  <c r="L55" i="81"/>
  <c r="N55" i="81" s="1"/>
  <c r="B55" i="81"/>
  <c r="Z54" i="81"/>
  <c r="X54" i="81"/>
  <c r="N54" i="81"/>
  <c r="L54" i="81"/>
  <c r="J54" i="81"/>
  <c r="F54" i="81"/>
  <c r="B54" i="81"/>
  <c r="T53" i="81"/>
  <c r="P53" i="81"/>
  <c r="J53" i="81"/>
  <c r="H53" i="81"/>
  <c r="D53" i="81"/>
  <c r="L53" i="81" s="1"/>
  <c r="N53" i="81" s="1"/>
  <c r="B53" i="81"/>
  <c r="Z52" i="81"/>
  <c r="X52" i="81"/>
  <c r="L52" i="81"/>
  <c r="N52" i="81" s="1"/>
  <c r="J52" i="81"/>
  <c r="B52" i="81"/>
  <c r="X51" i="81"/>
  <c r="Z51" i="81" s="1"/>
  <c r="N51" i="81"/>
  <c r="L51" i="81"/>
  <c r="B51" i="81"/>
  <c r="Z50" i="81"/>
  <c r="X50" i="81"/>
  <c r="N50" i="81"/>
  <c r="L50" i="81"/>
  <c r="J50" i="81"/>
  <c r="B50" i="81"/>
  <c r="T49" i="81"/>
  <c r="P49" i="81"/>
  <c r="J49" i="81"/>
  <c r="H49" i="81"/>
  <c r="D49" i="81"/>
  <c r="L49" i="81" s="1"/>
  <c r="N49" i="81" s="1"/>
  <c r="B49" i="81"/>
  <c r="Z48" i="81"/>
  <c r="X48" i="81"/>
  <c r="V48" i="81"/>
  <c r="N48" i="81"/>
  <c r="L48" i="81"/>
  <c r="J48" i="81"/>
  <c r="B48" i="81"/>
  <c r="Z47" i="81"/>
  <c r="X47" i="81"/>
  <c r="V47" i="81"/>
  <c r="T47" i="81"/>
  <c r="P47" i="81"/>
  <c r="J47" i="81"/>
  <c r="H47" i="81"/>
  <c r="F47" i="81"/>
  <c r="D47" i="81"/>
  <c r="B47" i="81"/>
  <c r="Z46" i="81"/>
  <c r="X46" i="81"/>
  <c r="L46" i="81"/>
  <c r="N46" i="81" s="1"/>
  <c r="B46" i="81"/>
  <c r="X45" i="81"/>
  <c r="T45" i="81"/>
  <c r="P45" i="81"/>
  <c r="H45" i="81"/>
  <c r="D45" i="81"/>
  <c r="B45" i="81"/>
  <c r="X44" i="81"/>
  <c r="Z44" i="81" s="1"/>
  <c r="N44" i="81"/>
  <c r="L44" i="81"/>
  <c r="J44" i="81"/>
  <c r="B44" i="81"/>
  <c r="T43" i="81"/>
  <c r="P43" i="81"/>
  <c r="X43" i="81" s="1"/>
  <c r="H43" i="81"/>
  <c r="N43" i="81" s="1"/>
  <c r="D43" i="81"/>
  <c r="B43" i="81"/>
  <c r="X42" i="81"/>
  <c r="Z42" i="81" s="1"/>
  <c r="N42" i="81"/>
  <c r="L42" i="81"/>
  <c r="J42" i="81"/>
  <c r="F42" i="81"/>
  <c r="B42" i="81"/>
  <c r="Z41" i="81"/>
  <c r="T41" i="81"/>
  <c r="P41" i="81"/>
  <c r="X41" i="81" s="1"/>
  <c r="L41" i="81"/>
  <c r="N41" i="81" s="1"/>
  <c r="J41" i="81"/>
  <c r="H41" i="81"/>
  <c r="D41" i="81"/>
  <c r="B41" i="81"/>
  <c r="Z40" i="81"/>
  <c r="X40" i="81"/>
  <c r="N40" i="81"/>
  <c r="L40" i="81"/>
  <c r="J40" i="81"/>
  <c r="B40" i="81"/>
  <c r="Z39" i="81"/>
  <c r="T39" i="81"/>
  <c r="P39" i="81"/>
  <c r="X39" i="81" s="1"/>
  <c r="J39" i="81"/>
  <c r="H39" i="81"/>
  <c r="D39" i="81"/>
  <c r="B39" i="81"/>
  <c r="Z38" i="81"/>
  <c r="X38" i="81"/>
  <c r="V38" i="81"/>
  <c r="N38" i="81"/>
  <c r="L38" i="81"/>
  <c r="B38" i="81"/>
  <c r="X37" i="81"/>
  <c r="Z37" i="81" s="1"/>
  <c r="V37" i="81"/>
  <c r="R37" i="81"/>
  <c r="N37" i="81"/>
  <c r="L37" i="81"/>
  <c r="F37" i="81"/>
  <c r="B37" i="81"/>
  <c r="V36" i="81"/>
  <c r="T36" i="81"/>
  <c r="P36" i="81"/>
  <c r="N36" i="81"/>
  <c r="J36" i="81"/>
  <c r="H36" i="81"/>
  <c r="D36" i="81"/>
  <c r="L36" i="81" s="1"/>
  <c r="B36" i="81"/>
  <c r="X35" i="81"/>
  <c r="Z35" i="81" s="1"/>
  <c r="R35" i="81"/>
  <c r="L35" i="81"/>
  <c r="N35" i="81" s="1"/>
  <c r="J35" i="81"/>
  <c r="B35" i="81"/>
  <c r="V34" i="81"/>
  <c r="T34" i="81"/>
  <c r="R34" i="81"/>
  <c r="P34" i="81"/>
  <c r="J34" i="81"/>
  <c r="H34" i="81"/>
  <c r="D34" i="81"/>
  <c r="L34" i="81" s="1"/>
  <c r="N34" i="81" s="1"/>
  <c r="B34" i="81"/>
  <c r="Z33" i="81"/>
  <c r="X33" i="81"/>
  <c r="N33" i="81"/>
  <c r="L33" i="81"/>
  <c r="J33" i="81"/>
  <c r="B33" i="81"/>
  <c r="Z32" i="81"/>
  <c r="X32" i="81"/>
  <c r="V32" i="81"/>
  <c r="N32" i="81"/>
  <c r="L32" i="81"/>
  <c r="J32" i="81"/>
  <c r="B32" i="81"/>
  <c r="Z31" i="81"/>
  <c r="X31" i="81"/>
  <c r="N31" i="81"/>
  <c r="L31" i="81"/>
  <c r="J31" i="81"/>
  <c r="B31" i="81"/>
  <c r="Z30" i="81"/>
  <c r="X30" i="81"/>
  <c r="V30" i="81"/>
  <c r="N30" i="81"/>
  <c r="L30" i="81"/>
  <c r="B30" i="81"/>
  <c r="X29" i="81"/>
  <c r="Z29" i="81" s="1"/>
  <c r="V29" i="81"/>
  <c r="R29" i="81"/>
  <c r="N29" i="81"/>
  <c r="L29" i="81"/>
  <c r="F29" i="81"/>
  <c r="B29" i="81"/>
  <c r="V28" i="81"/>
  <c r="T28" i="81"/>
  <c r="P28" i="81"/>
  <c r="J28" i="81"/>
  <c r="H28" i="81"/>
  <c r="D28" i="81"/>
  <c r="L28" i="81" s="1"/>
  <c r="N28" i="81" s="1"/>
  <c r="B28" i="81"/>
  <c r="X27" i="81"/>
  <c r="Z27" i="81" s="1"/>
  <c r="R27" i="81"/>
  <c r="N27" i="81"/>
  <c r="L27" i="81"/>
  <c r="J27" i="81"/>
  <c r="B27" i="81"/>
  <c r="Z26" i="81"/>
  <c r="X26" i="81"/>
  <c r="V26" i="81"/>
  <c r="R26" i="81"/>
  <c r="L26" i="81"/>
  <c r="N26" i="81" s="1"/>
  <c r="B26" i="81"/>
  <c r="X25" i="81"/>
  <c r="Z25" i="81" s="1"/>
  <c r="V25" i="81"/>
  <c r="R25" i="81"/>
  <c r="N25" i="81"/>
  <c r="L25" i="81"/>
  <c r="B25" i="81"/>
  <c r="X24" i="81"/>
  <c r="Z24" i="81" s="1"/>
  <c r="V24" i="81"/>
  <c r="R24" i="81"/>
  <c r="N24" i="81"/>
  <c r="L24" i="81"/>
  <c r="J24" i="81"/>
  <c r="B24" i="81"/>
  <c r="X23" i="81"/>
  <c r="Z23" i="81" s="1"/>
  <c r="V23" i="81"/>
  <c r="L23" i="81"/>
  <c r="N23" i="81" s="1"/>
  <c r="F23" i="81"/>
  <c r="B23" i="81"/>
  <c r="X22" i="81"/>
  <c r="Z22" i="81" s="1"/>
  <c r="N22" i="81"/>
  <c r="L22" i="81"/>
  <c r="J22" i="81"/>
  <c r="F22" i="81"/>
  <c r="B22" i="81"/>
  <c r="Z21" i="81"/>
  <c r="X21" i="81"/>
  <c r="R21" i="81"/>
  <c r="L21" i="81"/>
  <c r="N21" i="81" s="1"/>
  <c r="J21" i="81"/>
  <c r="B21" i="81"/>
  <c r="X20" i="81"/>
  <c r="Z20" i="81" s="1"/>
  <c r="V20" i="81"/>
  <c r="L20" i="81"/>
  <c r="N20" i="81" s="1"/>
  <c r="J20" i="81"/>
  <c r="B20" i="81"/>
  <c r="T19" i="81"/>
  <c r="R19" i="81"/>
  <c r="P19" i="81"/>
  <c r="N19" i="81"/>
  <c r="H19" i="81"/>
  <c r="D19" i="81"/>
  <c r="L19" i="81" s="1"/>
  <c r="B19" i="81"/>
  <c r="X18" i="81"/>
  <c r="Z18" i="81" s="1"/>
  <c r="T18" i="81"/>
  <c r="P18" i="81"/>
  <c r="J18" i="81"/>
  <c r="H18" i="81"/>
  <c r="D18" i="81"/>
  <c r="V16" i="81"/>
  <c r="T16" i="81"/>
  <c r="J16" i="81"/>
  <c r="F16" i="81"/>
  <c r="Z14" i="81"/>
  <c r="X14" i="81"/>
  <c r="T14" i="81"/>
  <c r="P14" i="81"/>
  <c r="N14" i="81"/>
  <c r="J14" i="81"/>
  <c r="H14" i="81"/>
  <c r="H16" i="81" s="1"/>
  <c r="D14" i="81"/>
  <c r="L14" i="81" s="1"/>
  <c r="T12" i="81"/>
  <c r="V70" i="81" s="1"/>
  <c r="P12" i="81"/>
  <c r="R46" i="81" s="1"/>
  <c r="N12" i="81"/>
  <c r="L12" i="81"/>
  <c r="H12" i="81"/>
  <c r="J79" i="81" s="1"/>
  <c r="D12" i="81"/>
  <c r="D6" i="81"/>
  <c r="D4" i="81"/>
  <c r="V36" i="80"/>
  <c r="Z34" i="80"/>
  <c r="X34" i="80"/>
  <c r="V34" i="80"/>
  <c r="N34" i="80"/>
  <c r="L34" i="80"/>
  <c r="V32" i="80"/>
  <c r="T32" i="80"/>
  <c r="F32" i="80"/>
  <c r="X30" i="80"/>
  <c r="T30" i="80"/>
  <c r="Z30" i="80" s="1"/>
  <c r="P30" i="80"/>
  <c r="H30" i="80"/>
  <c r="N30" i="80" s="1"/>
  <c r="F30" i="80"/>
  <c r="D30" i="80"/>
  <c r="Z28" i="80"/>
  <c r="X28" i="80"/>
  <c r="N28" i="80"/>
  <c r="L28" i="80"/>
  <c r="B28" i="80"/>
  <c r="T27" i="80"/>
  <c r="P27" i="80"/>
  <c r="X27" i="80" s="1"/>
  <c r="Z27" i="80" s="1"/>
  <c r="N27" i="80"/>
  <c r="L27" i="80"/>
  <c r="H27" i="80"/>
  <c r="D27" i="80"/>
  <c r="B27" i="80"/>
  <c r="Z26" i="80"/>
  <c r="X26" i="80"/>
  <c r="V26" i="80"/>
  <c r="N26" i="80"/>
  <c r="L26" i="80"/>
  <c r="F26" i="80"/>
  <c r="B26" i="80"/>
  <c r="X25" i="80"/>
  <c r="Z25" i="80" s="1"/>
  <c r="T25" i="80"/>
  <c r="P25" i="80"/>
  <c r="N25" i="80"/>
  <c r="L25" i="80"/>
  <c r="H25" i="80"/>
  <c r="D25" i="80"/>
  <c r="B25" i="80"/>
  <c r="X24" i="80"/>
  <c r="Z24" i="80" s="1"/>
  <c r="V24" i="80"/>
  <c r="N24" i="80"/>
  <c r="L24" i="80"/>
  <c r="B24" i="80"/>
  <c r="X23" i="80"/>
  <c r="T23" i="80"/>
  <c r="Z23" i="80" s="1"/>
  <c r="P23" i="80"/>
  <c r="H23" i="80"/>
  <c r="N23" i="80" s="1"/>
  <c r="D23" i="80"/>
  <c r="B23" i="80"/>
  <c r="X22" i="80"/>
  <c r="Z22" i="80" s="1"/>
  <c r="N22" i="80"/>
  <c r="L22" i="80"/>
  <c r="B22" i="80"/>
  <c r="V21" i="80"/>
  <c r="T21" i="80"/>
  <c r="P21" i="80"/>
  <c r="H21" i="80"/>
  <c r="F21" i="80"/>
  <c r="D21" i="80"/>
  <c r="L21" i="80" s="1"/>
  <c r="B21" i="80"/>
  <c r="Z20" i="80"/>
  <c r="X20" i="80"/>
  <c r="N20" i="80"/>
  <c r="L20" i="80"/>
  <c r="B20" i="80"/>
  <c r="T19" i="80"/>
  <c r="P19" i="80"/>
  <c r="X19" i="80" s="1"/>
  <c r="N19" i="80"/>
  <c r="L19" i="80"/>
  <c r="H19" i="80"/>
  <c r="D19" i="80"/>
  <c r="B19" i="80"/>
  <c r="V18" i="80"/>
  <c r="T18" i="80"/>
  <c r="P18" i="80"/>
  <c r="X18" i="80" s="1"/>
  <c r="Z18" i="80" s="1"/>
  <c r="L18" i="80"/>
  <c r="N18" i="80" s="1"/>
  <c r="H18" i="80"/>
  <c r="F18" i="80"/>
  <c r="D18" i="80"/>
  <c r="T16" i="80"/>
  <c r="Z16" i="80" s="1"/>
  <c r="R16" i="80"/>
  <c r="F16" i="80"/>
  <c r="D16" i="80"/>
  <c r="Z14" i="80"/>
  <c r="X14" i="80"/>
  <c r="V14" i="80"/>
  <c r="T14" i="80"/>
  <c r="P14" i="80"/>
  <c r="N14" i="80"/>
  <c r="L14" i="80"/>
  <c r="H14" i="80"/>
  <c r="F14" i="80"/>
  <c r="D14" i="80"/>
  <c r="T12" i="80"/>
  <c r="V25" i="80" s="1"/>
  <c r="P12" i="80"/>
  <c r="H12" i="80"/>
  <c r="D12" i="80"/>
  <c r="F34" i="80" s="1"/>
  <c r="D6" i="80"/>
  <c r="D4" i="80"/>
  <c r="Z83" i="79"/>
  <c r="X83" i="79"/>
  <c r="N83" i="79"/>
  <c r="L83" i="79"/>
  <c r="Z79" i="79"/>
  <c r="T79" i="79"/>
  <c r="P79" i="79"/>
  <c r="N79" i="79"/>
  <c r="H79" i="79"/>
  <c r="L79" i="79" s="1"/>
  <c r="D79" i="79"/>
  <c r="B79" i="79"/>
  <c r="Z78" i="79"/>
  <c r="T78" i="79"/>
  <c r="H78" i="79"/>
  <c r="N78" i="79" s="1"/>
  <c r="D78" i="79"/>
  <c r="L78" i="79" s="1"/>
  <c r="X76" i="79"/>
  <c r="Z76" i="79" s="1"/>
  <c r="N76" i="79"/>
  <c r="L76" i="79"/>
  <c r="B76" i="79"/>
  <c r="T75" i="79"/>
  <c r="P75" i="79"/>
  <c r="X75" i="79" s="1"/>
  <c r="H75" i="79"/>
  <c r="D75" i="79"/>
  <c r="L75" i="79" s="1"/>
  <c r="N75" i="79" s="1"/>
  <c r="B75" i="79"/>
  <c r="X74" i="79"/>
  <c r="Z74" i="79" s="1"/>
  <c r="N74" i="79"/>
  <c r="L74" i="79"/>
  <c r="B74" i="79"/>
  <c r="Z73" i="79"/>
  <c r="T73" i="79"/>
  <c r="P73" i="79"/>
  <c r="X73" i="79" s="1"/>
  <c r="N73" i="79"/>
  <c r="H73" i="79"/>
  <c r="D73" i="79"/>
  <c r="L73" i="79" s="1"/>
  <c r="B73" i="79"/>
  <c r="Z72" i="79"/>
  <c r="X72" i="79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X66" i="79"/>
  <c r="Z66" i="79" s="1"/>
  <c r="N66" i="79"/>
  <c r="L66" i="79"/>
  <c r="B66" i="79"/>
  <c r="Z65" i="79"/>
  <c r="X65" i="79"/>
  <c r="N65" i="79"/>
  <c r="L65" i="79"/>
  <c r="B65" i="79"/>
  <c r="T64" i="79"/>
  <c r="P64" i="79"/>
  <c r="J64" i="79"/>
  <c r="H64" i="79"/>
  <c r="N64" i="79" s="1"/>
  <c r="D64" i="79"/>
  <c r="L64" i="79" s="1"/>
  <c r="B64" i="79"/>
  <c r="Z63" i="79"/>
  <c r="X63" i="79"/>
  <c r="N63" i="79"/>
  <c r="L63" i="79"/>
  <c r="B63" i="79"/>
  <c r="T62" i="79"/>
  <c r="Z62" i="79" s="1"/>
  <c r="P62" i="79"/>
  <c r="X62" i="79" s="1"/>
  <c r="H62" i="79"/>
  <c r="N62" i="79" s="1"/>
  <c r="D62" i="79"/>
  <c r="L62" i="79" s="1"/>
  <c r="B62" i="79"/>
  <c r="Z61" i="79"/>
  <c r="X61" i="79"/>
  <c r="N61" i="79"/>
  <c r="L61" i="79"/>
  <c r="B61" i="79"/>
  <c r="Z60" i="79"/>
  <c r="X60" i="79"/>
  <c r="N60" i="79"/>
  <c r="L60" i="79"/>
  <c r="B60" i="79"/>
  <c r="Z59" i="79"/>
  <c r="X59" i="79"/>
  <c r="N59" i="79"/>
  <c r="L59" i="79"/>
  <c r="B59" i="79"/>
  <c r="Z58" i="79"/>
  <c r="X58" i="79"/>
  <c r="R58" i="79"/>
  <c r="N58" i="79"/>
  <c r="L58" i="79"/>
  <c r="B58" i="79"/>
  <c r="X57" i="79"/>
  <c r="Z57" i="79" s="1"/>
  <c r="T57" i="79"/>
  <c r="P57" i="79"/>
  <c r="H57" i="79"/>
  <c r="F57" i="79"/>
  <c r="D57" i="79"/>
  <c r="B57" i="79"/>
  <c r="X56" i="79"/>
  <c r="Z56" i="79" s="1"/>
  <c r="N56" i="79"/>
  <c r="L56" i="79"/>
  <c r="B56" i="79"/>
  <c r="Z55" i="79"/>
  <c r="X55" i="79"/>
  <c r="N55" i="79"/>
  <c r="L55" i="79"/>
  <c r="B55" i="79"/>
  <c r="T54" i="79"/>
  <c r="P54" i="79"/>
  <c r="H54" i="79"/>
  <c r="N54" i="79" s="1"/>
  <c r="D54" i="79"/>
  <c r="L54" i="79" s="1"/>
  <c r="B54" i="79"/>
  <c r="Z53" i="79"/>
  <c r="X53" i="79"/>
  <c r="N53" i="79"/>
  <c r="L53" i="79"/>
  <c r="B53" i="79"/>
  <c r="T52" i="79"/>
  <c r="P52" i="79"/>
  <c r="X52" i="79" s="1"/>
  <c r="H52" i="79"/>
  <c r="N52" i="79" s="1"/>
  <c r="D52" i="79"/>
  <c r="L52" i="79" s="1"/>
  <c r="B52" i="79"/>
  <c r="Z51" i="79"/>
  <c r="X51" i="79"/>
  <c r="N51" i="79"/>
  <c r="L51" i="79"/>
  <c r="B51" i="79"/>
  <c r="Z50" i="79"/>
  <c r="X50" i="79"/>
  <c r="T50" i="79"/>
  <c r="P50" i="79"/>
  <c r="H50" i="79"/>
  <c r="N50" i="79" s="1"/>
  <c r="D50" i="79"/>
  <c r="B50" i="79"/>
  <c r="Z49" i="79"/>
  <c r="X49" i="79"/>
  <c r="N49" i="79"/>
  <c r="L49" i="79"/>
  <c r="B49" i="79"/>
  <c r="X48" i="79"/>
  <c r="T48" i="79"/>
  <c r="P48" i="79"/>
  <c r="H48" i="79"/>
  <c r="N48" i="79" s="1"/>
  <c r="D48" i="79"/>
  <c r="L48" i="79" s="1"/>
  <c r="B48" i="79"/>
  <c r="Z47" i="79"/>
  <c r="X47" i="79"/>
  <c r="N47" i="79"/>
  <c r="L47" i="79"/>
  <c r="B47" i="79"/>
  <c r="T46" i="79"/>
  <c r="Z46" i="79" s="1"/>
  <c r="P46" i="79"/>
  <c r="H46" i="79"/>
  <c r="N46" i="79" s="1"/>
  <c r="D46" i="79"/>
  <c r="L46" i="79" s="1"/>
  <c r="B46" i="79"/>
  <c r="Z45" i="79"/>
  <c r="X45" i="79"/>
  <c r="N45" i="79"/>
  <c r="L45" i="79"/>
  <c r="B45" i="79"/>
  <c r="X44" i="79"/>
  <c r="Z44" i="79" s="1"/>
  <c r="L44" i="79"/>
  <c r="N44" i="79" s="1"/>
  <c r="F44" i="79"/>
  <c r="B44" i="79"/>
  <c r="T43" i="79"/>
  <c r="P43" i="79"/>
  <c r="X43" i="79" s="1"/>
  <c r="Z43" i="79" s="1"/>
  <c r="H43" i="79"/>
  <c r="L43" i="79" s="1"/>
  <c r="N43" i="79" s="1"/>
  <c r="D43" i="79"/>
  <c r="B43" i="79"/>
  <c r="Z42" i="79"/>
  <c r="X42" i="79"/>
  <c r="N42" i="79"/>
  <c r="L42" i="79"/>
  <c r="B42" i="79"/>
  <c r="Z41" i="79"/>
  <c r="T41" i="79"/>
  <c r="P41" i="79"/>
  <c r="X41" i="79" s="1"/>
  <c r="N41" i="79"/>
  <c r="L41" i="79"/>
  <c r="H41" i="79"/>
  <c r="D41" i="79"/>
  <c r="B41" i="79"/>
  <c r="Z40" i="79"/>
  <c r="X40" i="79"/>
  <c r="N40" i="79"/>
  <c r="L40" i="79"/>
  <c r="B40" i="79"/>
  <c r="Z39" i="79"/>
  <c r="X39" i="79"/>
  <c r="T39" i="79"/>
  <c r="P39" i="79"/>
  <c r="H39" i="79"/>
  <c r="N39" i="79" s="1"/>
  <c r="D39" i="79"/>
  <c r="L39" i="79" s="1"/>
  <c r="B39" i="79"/>
  <c r="Z38" i="79"/>
  <c r="X38" i="79"/>
  <c r="N38" i="79"/>
  <c r="L38" i="79"/>
  <c r="B38" i="79"/>
  <c r="T37" i="79"/>
  <c r="Z37" i="79" s="1"/>
  <c r="P37" i="79"/>
  <c r="X37" i="79" s="1"/>
  <c r="N37" i="79"/>
  <c r="H37" i="79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X32" i="79"/>
  <c r="T32" i="79"/>
  <c r="Z32" i="79" s="1"/>
  <c r="P32" i="79"/>
  <c r="H32" i="79"/>
  <c r="N32" i="79" s="1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F26" i="79"/>
  <c r="B26" i="79"/>
  <c r="Z25" i="79"/>
  <c r="X25" i="79"/>
  <c r="N25" i="79"/>
  <c r="L25" i="79"/>
  <c r="J25" i="79"/>
  <c r="B25" i="79"/>
  <c r="X24" i="79"/>
  <c r="Z24" i="79" s="1"/>
  <c r="N24" i="79"/>
  <c r="L24" i="79"/>
  <c r="B24" i="79"/>
  <c r="T23" i="79"/>
  <c r="P23" i="79"/>
  <c r="X23" i="79" s="1"/>
  <c r="Z23" i="79" s="1"/>
  <c r="N23" i="79"/>
  <c r="H23" i="79"/>
  <c r="D23" i="79"/>
  <c r="L23" i="79" s="1"/>
  <c r="B23" i="79"/>
  <c r="X22" i="79"/>
  <c r="Z22" i="79" s="1"/>
  <c r="T22" i="79"/>
  <c r="P22" i="79"/>
  <c r="H22" i="79"/>
  <c r="D22" i="79"/>
  <c r="Z18" i="79"/>
  <c r="X18" i="79"/>
  <c r="N18" i="79"/>
  <c r="L18" i="79"/>
  <c r="F18" i="79"/>
  <c r="B18" i="79"/>
  <c r="Z17" i="79"/>
  <c r="X17" i="79"/>
  <c r="N17" i="79"/>
  <c r="L17" i="79"/>
  <c r="J17" i="79"/>
  <c r="B17" i="79"/>
  <c r="T16" i="79"/>
  <c r="Z16" i="79" s="1"/>
  <c r="P16" i="79"/>
  <c r="X16" i="79" s="1"/>
  <c r="N16" i="79"/>
  <c r="L16" i="79"/>
  <c r="H16" i="79"/>
  <c r="D16" i="79"/>
  <c r="T14" i="79"/>
  <c r="Z14" i="79" s="1"/>
  <c r="P14" i="79"/>
  <c r="P12" i="79" s="1"/>
  <c r="L14" i="79"/>
  <c r="H14" i="79"/>
  <c r="N14" i="79" s="1"/>
  <c r="D14" i="79"/>
  <c r="B14" i="79"/>
  <c r="T13" i="79"/>
  <c r="P13" i="79"/>
  <c r="N13" i="79"/>
  <c r="H13" i="79"/>
  <c r="H12" i="79" s="1"/>
  <c r="J39" i="79" s="1"/>
  <c r="D13" i="79"/>
  <c r="L13" i="79" s="1"/>
  <c r="B13" i="79"/>
  <c r="D12" i="79"/>
  <c r="D6" i="79"/>
  <c r="D4" i="79"/>
  <c r="X32" i="78"/>
  <c r="Z32" i="78" s="1"/>
  <c r="L32" i="78"/>
  <c r="N32" i="78" s="1"/>
  <c r="F32" i="78"/>
  <c r="X28" i="78"/>
  <c r="T28" i="78"/>
  <c r="Z28" i="78" s="1"/>
  <c r="P28" i="78"/>
  <c r="H28" i="78"/>
  <c r="N28" i="78" s="1"/>
  <c r="D28" i="78"/>
  <c r="L28" i="78" s="1"/>
  <c r="Z26" i="78"/>
  <c r="X26" i="78"/>
  <c r="N26" i="78"/>
  <c r="L26" i="78"/>
  <c r="B26" i="78"/>
  <c r="Z25" i="78"/>
  <c r="T25" i="78"/>
  <c r="P25" i="78"/>
  <c r="X25" i="78" s="1"/>
  <c r="N25" i="78"/>
  <c r="L25" i="78"/>
  <c r="H25" i="78"/>
  <c r="D25" i="78"/>
  <c r="B25" i="78"/>
  <c r="Z24" i="78"/>
  <c r="X24" i="78"/>
  <c r="N24" i="78"/>
  <c r="L24" i="78"/>
  <c r="F24" i="78"/>
  <c r="B24" i="78"/>
  <c r="Z23" i="78"/>
  <c r="X23" i="78"/>
  <c r="T23" i="78"/>
  <c r="P23" i="78"/>
  <c r="N23" i="78"/>
  <c r="L23" i="78"/>
  <c r="H23" i="78"/>
  <c r="D23" i="78"/>
  <c r="B23" i="78"/>
  <c r="X22" i="78"/>
  <c r="T22" i="78"/>
  <c r="Z22" i="78" s="1"/>
  <c r="P22" i="78"/>
  <c r="H22" i="78"/>
  <c r="N22" i="78" s="1"/>
  <c r="D22" i="78"/>
  <c r="L22" i="78" s="1"/>
  <c r="X18" i="78"/>
  <c r="Z18" i="78" s="1"/>
  <c r="N18" i="78"/>
  <c r="L18" i="78"/>
  <c r="B18" i="78"/>
  <c r="Z17" i="78"/>
  <c r="X17" i="78"/>
  <c r="N17" i="78"/>
  <c r="L17" i="78"/>
  <c r="B17" i="78"/>
  <c r="X16" i="78"/>
  <c r="Z16" i="78" s="1"/>
  <c r="T16" i="78"/>
  <c r="P16" i="78"/>
  <c r="H16" i="78"/>
  <c r="N16" i="78" s="1"/>
  <c r="D16" i="78"/>
  <c r="T14" i="78"/>
  <c r="Z14" i="78" s="1"/>
  <c r="P14" i="78"/>
  <c r="X14" i="78" s="1"/>
  <c r="N14" i="78"/>
  <c r="L14" i="78"/>
  <c r="H14" i="78"/>
  <c r="D14" i="78"/>
  <c r="D12" i="78" s="1"/>
  <c r="B14" i="78"/>
  <c r="T13" i="78"/>
  <c r="P13" i="78"/>
  <c r="X13" i="78" s="1"/>
  <c r="N13" i="78"/>
  <c r="H13" i="78"/>
  <c r="H12" i="78" s="1"/>
  <c r="J23" i="78" s="1"/>
  <c r="D13" i="78"/>
  <c r="L13" i="78" s="1"/>
  <c r="B13" i="78"/>
  <c r="D6" i="78"/>
  <c r="D4" i="78"/>
  <c r="X110" i="77"/>
  <c r="Z110" i="77" s="1"/>
  <c r="L110" i="77"/>
  <c r="N110" i="77" s="1"/>
  <c r="T106" i="77"/>
  <c r="Z106" i="77" s="1"/>
  <c r="P106" i="77"/>
  <c r="X106" i="77" s="1"/>
  <c r="H106" i="77"/>
  <c r="N106" i="77" s="1"/>
  <c r="D106" i="77"/>
  <c r="L106" i="77" s="1"/>
  <c r="X104" i="77"/>
  <c r="Z104" i="77" s="1"/>
  <c r="L104" i="77"/>
  <c r="N104" i="77" s="1"/>
  <c r="B104" i="77"/>
  <c r="T103" i="77"/>
  <c r="P103" i="77"/>
  <c r="X103" i="77" s="1"/>
  <c r="Z103" i="77" s="1"/>
  <c r="N103" i="77"/>
  <c r="L103" i="77"/>
  <c r="H103" i="77"/>
  <c r="D103" i="77"/>
  <c r="B103" i="77"/>
  <c r="X102" i="77"/>
  <c r="Z102" i="77" s="1"/>
  <c r="L102" i="77"/>
  <c r="N102" i="77" s="1"/>
  <c r="B102" i="77"/>
  <c r="Z101" i="77"/>
  <c r="X101" i="77"/>
  <c r="T101" i="77"/>
  <c r="P101" i="77"/>
  <c r="H101" i="77"/>
  <c r="N101" i="77" s="1"/>
  <c r="D101" i="77"/>
  <c r="L101" i="77" s="1"/>
  <c r="B101" i="77"/>
  <c r="X100" i="77"/>
  <c r="Z100" i="77" s="1"/>
  <c r="L100" i="77"/>
  <c r="N100" i="77" s="1"/>
  <c r="B100" i="77"/>
  <c r="T99" i="77"/>
  <c r="Z99" i="77" s="1"/>
  <c r="P99" i="77"/>
  <c r="X99" i="77" s="1"/>
  <c r="H99" i="77"/>
  <c r="D99" i="77"/>
  <c r="L99" i="77" s="1"/>
  <c r="N99" i="77" s="1"/>
  <c r="B99" i="77"/>
  <c r="Z98" i="77"/>
  <c r="X98" i="77"/>
  <c r="N98" i="77"/>
  <c r="L98" i="77"/>
  <c r="B98" i="77"/>
  <c r="Z97" i="77"/>
  <c r="X97" i="77"/>
  <c r="N97" i="77"/>
  <c r="L97" i="77"/>
  <c r="B97" i="77"/>
  <c r="Z96" i="77"/>
  <c r="X96" i="77"/>
  <c r="N96" i="77"/>
  <c r="L96" i="77"/>
  <c r="B96" i="77"/>
  <c r="Z95" i="77"/>
  <c r="X95" i="77"/>
  <c r="N95" i="77"/>
  <c r="L95" i="77"/>
  <c r="B95" i="77"/>
  <c r="X94" i="77"/>
  <c r="T94" i="77"/>
  <c r="P94" i="77"/>
  <c r="H94" i="77"/>
  <c r="N94" i="77" s="1"/>
  <c r="D94" i="77"/>
  <c r="L94" i="77" s="1"/>
  <c r="B94" i="77"/>
  <c r="Z93" i="77"/>
  <c r="X93" i="77"/>
  <c r="N93" i="77"/>
  <c r="L93" i="77"/>
  <c r="B93" i="77"/>
  <c r="Z92" i="77"/>
  <c r="X92" i="77"/>
  <c r="N92" i="77"/>
  <c r="L92" i="77"/>
  <c r="B92" i="77"/>
  <c r="T91" i="77"/>
  <c r="Z91" i="77" s="1"/>
  <c r="P91" i="77"/>
  <c r="X91" i="77" s="1"/>
  <c r="H91" i="77"/>
  <c r="D91" i="77"/>
  <c r="L91" i="77" s="1"/>
  <c r="N91" i="77" s="1"/>
  <c r="B91" i="77"/>
  <c r="X90" i="77"/>
  <c r="Z90" i="77" s="1"/>
  <c r="L90" i="77"/>
  <c r="N90" i="77" s="1"/>
  <c r="B90" i="77"/>
  <c r="Z89" i="77"/>
  <c r="X89" i="77"/>
  <c r="N89" i="77"/>
  <c r="L89" i="77"/>
  <c r="B89" i="77"/>
  <c r="Z88" i="77"/>
  <c r="X88" i="77"/>
  <c r="N88" i="77"/>
  <c r="L88" i="77"/>
  <c r="B88" i="77"/>
  <c r="T87" i="77"/>
  <c r="Z87" i="77" s="1"/>
  <c r="P87" i="77"/>
  <c r="X87" i="77" s="1"/>
  <c r="H87" i="77"/>
  <c r="D87" i="77"/>
  <c r="L87" i="77" s="1"/>
  <c r="N87" i="77" s="1"/>
  <c r="B87" i="77"/>
  <c r="Z86" i="77"/>
  <c r="X86" i="77"/>
  <c r="N86" i="77"/>
  <c r="L86" i="77"/>
  <c r="B86" i="77"/>
  <c r="Z85" i="77"/>
  <c r="X85" i="77"/>
  <c r="N85" i="77"/>
  <c r="L85" i="77"/>
  <c r="B85" i="77"/>
  <c r="Z84" i="77"/>
  <c r="X84" i="77"/>
  <c r="N84" i="77"/>
  <c r="L84" i="77"/>
  <c r="B84" i="77"/>
  <c r="T83" i="77"/>
  <c r="P83" i="77"/>
  <c r="X83" i="77" s="1"/>
  <c r="N83" i="77"/>
  <c r="H83" i="77"/>
  <c r="D83" i="77"/>
  <c r="L83" i="77" s="1"/>
  <c r="B83" i="77"/>
  <c r="X82" i="77"/>
  <c r="Z82" i="77" s="1"/>
  <c r="L82" i="77"/>
  <c r="N82" i="77" s="1"/>
  <c r="B82" i="77"/>
  <c r="T81" i="77"/>
  <c r="P81" i="77"/>
  <c r="X81" i="77" s="1"/>
  <c r="Z81" i="77" s="1"/>
  <c r="N81" i="77"/>
  <c r="L81" i="77"/>
  <c r="H81" i="77"/>
  <c r="D81" i="77"/>
  <c r="B81" i="77"/>
  <c r="Z80" i="77"/>
  <c r="X80" i="77"/>
  <c r="N80" i="77"/>
  <c r="L80" i="77"/>
  <c r="B80" i="77"/>
  <c r="Z79" i="77"/>
  <c r="X79" i="77"/>
  <c r="T79" i="77"/>
  <c r="P79" i="77"/>
  <c r="N79" i="77"/>
  <c r="L79" i="77"/>
  <c r="H79" i="77"/>
  <c r="D79" i="77"/>
  <c r="B79" i="77"/>
  <c r="X78" i="77"/>
  <c r="Z78" i="77" s="1"/>
  <c r="L78" i="77"/>
  <c r="N78" i="77" s="1"/>
  <c r="B78" i="77"/>
  <c r="Z77" i="77"/>
  <c r="X77" i="77"/>
  <c r="T77" i="77"/>
  <c r="P77" i="77"/>
  <c r="H77" i="77"/>
  <c r="N77" i="77" s="1"/>
  <c r="D77" i="77"/>
  <c r="L77" i="77" s="1"/>
  <c r="B77" i="77"/>
  <c r="Z76" i="77"/>
  <c r="X76" i="77"/>
  <c r="L76" i="77"/>
  <c r="N76" i="77" s="1"/>
  <c r="B76" i="77"/>
  <c r="T75" i="77"/>
  <c r="P75" i="77"/>
  <c r="X75" i="77" s="1"/>
  <c r="H75" i="77"/>
  <c r="D75" i="77"/>
  <c r="L75" i="77" s="1"/>
  <c r="N75" i="77" s="1"/>
  <c r="B75" i="77"/>
  <c r="X74" i="77"/>
  <c r="Z74" i="77" s="1"/>
  <c r="N74" i="77"/>
  <c r="L74" i="77"/>
  <c r="B74" i="77"/>
  <c r="T73" i="77"/>
  <c r="P73" i="77"/>
  <c r="X73" i="77" s="1"/>
  <c r="Z73" i="77" s="1"/>
  <c r="N73" i="77"/>
  <c r="L73" i="77"/>
  <c r="H73" i="77"/>
  <c r="D73" i="77"/>
  <c r="B73" i="77"/>
  <c r="Z72" i="77"/>
  <c r="X72" i="77"/>
  <c r="N72" i="77"/>
  <c r="L72" i="77"/>
  <c r="B72" i="77"/>
  <c r="Z71" i="77"/>
  <c r="X71" i="77"/>
  <c r="T71" i="77"/>
  <c r="P71" i="77"/>
  <c r="N71" i="77"/>
  <c r="L71" i="77"/>
  <c r="H71" i="77"/>
  <c r="D71" i="77"/>
  <c r="B71" i="77"/>
  <c r="X70" i="77"/>
  <c r="Z70" i="77" s="1"/>
  <c r="L70" i="77"/>
  <c r="N70" i="77" s="1"/>
  <c r="B70" i="77"/>
  <c r="Z69" i="77"/>
  <c r="X69" i="77"/>
  <c r="T69" i="77"/>
  <c r="P69" i="77"/>
  <c r="H69" i="77"/>
  <c r="N69" i="77" s="1"/>
  <c r="D69" i="77"/>
  <c r="L69" i="77" s="1"/>
  <c r="B69" i="77"/>
  <c r="Z68" i="77"/>
  <c r="X68" i="77"/>
  <c r="L68" i="77"/>
  <c r="N68" i="77" s="1"/>
  <c r="B68" i="77"/>
  <c r="T67" i="77"/>
  <c r="P67" i="77"/>
  <c r="X67" i="77" s="1"/>
  <c r="H67" i="77"/>
  <c r="D67" i="77"/>
  <c r="L67" i="77" s="1"/>
  <c r="N67" i="77" s="1"/>
  <c r="B67" i="77"/>
  <c r="X66" i="77"/>
  <c r="Z66" i="77" s="1"/>
  <c r="N66" i="77"/>
  <c r="L66" i="77"/>
  <c r="B66" i="77"/>
  <c r="T65" i="77"/>
  <c r="P65" i="77"/>
  <c r="X65" i="77" s="1"/>
  <c r="Z65" i="77" s="1"/>
  <c r="N65" i="77"/>
  <c r="L65" i="77"/>
  <c r="H65" i="77"/>
  <c r="D65" i="77"/>
  <c r="B65" i="77"/>
  <c r="X64" i="77"/>
  <c r="Z64" i="77" s="1"/>
  <c r="N64" i="77"/>
  <c r="L64" i="77"/>
  <c r="B64" i="77"/>
  <c r="Z63" i="77"/>
  <c r="X63" i="77"/>
  <c r="L63" i="77"/>
  <c r="N63" i="77" s="1"/>
  <c r="B63" i="77"/>
  <c r="X62" i="77"/>
  <c r="Z62" i="77" s="1"/>
  <c r="L62" i="77"/>
  <c r="N62" i="77" s="1"/>
  <c r="B62" i="77"/>
  <c r="Z61" i="77"/>
  <c r="X61" i="77"/>
  <c r="N61" i="77"/>
  <c r="L61" i="77"/>
  <c r="B61" i="77"/>
  <c r="Z60" i="77"/>
  <c r="X60" i="77"/>
  <c r="L60" i="77"/>
  <c r="N60" i="77" s="1"/>
  <c r="B60" i="77"/>
  <c r="T59" i="77"/>
  <c r="Z59" i="77" s="1"/>
  <c r="P59" i="77"/>
  <c r="X59" i="77" s="1"/>
  <c r="H59" i="77"/>
  <c r="D59" i="77"/>
  <c r="L59" i="77" s="1"/>
  <c r="N59" i="77" s="1"/>
  <c r="B59" i="77"/>
  <c r="X58" i="77"/>
  <c r="Z58" i="77" s="1"/>
  <c r="L58" i="77"/>
  <c r="N58" i="77" s="1"/>
  <c r="B58" i="77"/>
  <c r="Z57" i="77"/>
  <c r="X57" i="77"/>
  <c r="N57" i="77"/>
  <c r="L57" i="77"/>
  <c r="B57" i="77"/>
  <c r="Z56" i="77"/>
  <c r="X56" i="77"/>
  <c r="L56" i="77"/>
  <c r="N56" i="77" s="1"/>
  <c r="B56" i="77"/>
  <c r="X55" i="77"/>
  <c r="Z55" i="77" s="1"/>
  <c r="N55" i="77"/>
  <c r="L55" i="77"/>
  <c r="B55" i="77"/>
  <c r="X54" i="77"/>
  <c r="Z54" i="77" s="1"/>
  <c r="L54" i="77"/>
  <c r="N54" i="77" s="1"/>
  <c r="B54" i="77"/>
  <c r="Z53" i="77"/>
  <c r="X53" i="77"/>
  <c r="N53" i="77"/>
  <c r="L53" i="77"/>
  <c r="B53" i="77"/>
  <c r="X52" i="77"/>
  <c r="Z52" i="77" s="1"/>
  <c r="N52" i="77"/>
  <c r="L52" i="77"/>
  <c r="B52" i="77"/>
  <c r="Z51" i="77"/>
  <c r="X51" i="77"/>
  <c r="L51" i="77"/>
  <c r="N51" i="77" s="1"/>
  <c r="B51" i="77"/>
  <c r="T50" i="77"/>
  <c r="P50" i="77"/>
  <c r="X50" i="77" s="1"/>
  <c r="Z50" i="77" s="1"/>
  <c r="L50" i="77"/>
  <c r="N50" i="77" s="1"/>
  <c r="H50" i="77"/>
  <c r="D50" i="77"/>
  <c r="B50" i="77"/>
  <c r="Z49" i="77"/>
  <c r="X49" i="77"/>
  <c r="T49" i="77"/>
  <c r="P49" i="77"/>
  <c r="H49" i="77"/>
  <c r="D49" i="77"/>
  <c r="L49" i="77" s="1"/>
  <c r="Z45" i="77"/>
  <c r="X45" i="77"/>
  <c r="N45" i="77"/>
  <c r="L45" i="77"/>
  <c r="B45" i="77"/>
  <c r="X44" i="77"/>
  <c r="Z44" i="77" s="1"/>
  <c r="N44" i="77"/>
  <c r="L44" i="77"/>
  <c r="B44" i="77"/>
  <c r="Z43" i="77"/>
  <c r="X43" i="77"/>
  <c r="N43" i="77"/>
  <c r="L43" i="77"/>
  <c r="B43" i="77"/>
  <c r="Z42" i="77"/>
  <c r="X42" i="77"/>
  <c r="N42" i="77"/>
  <c r="L42" i="77"/>
  <c r="B42" i="77"/>
  <c r="Z41" i="77"/>
  <c r="X41" i="77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X38" i="77"/>
  <c r="T38" i="77"/>
  <c r="P38" i="77"/>
  <c r="H38" i="77"/>
  <c r="D38" i="77"/>
  <c r="L38" i="77" s="1"/>
  <c r="Z36" i="77"/>
  <c r="T36" i="77"/>
  <c r="X36" i="77" s="1"/>
  <c r="P36" i="77"/>
  <c r="H36" i="77"/>
  <c r="N36" i="77" s="1"/>
  <c r="D36" i="77"/>
  <c r="L36" i="77" s="1"/>
  <c r="B36" i="77"/>
  <c r="X35" i="77"/>
  <c r="Z35" i="77" s="1"/>
  <c r="T35" i="77"/>
  <c r="P35" i="77"/>
  <c r="N35" i="77"/>
  <c r="H35" i="77"/>
  <c r="L35" i="77" s="1"/>
  <c r="D35" i="77"/>
  <c r="B35" i="77"/>
  <c r="T34" i="77"/>
  <c r="P34" i="77"/>
  <c r="X34" i="77" s="1"/>
  <c r="Z34" i="77" s="1"/>
  <c r="N34" i="77"/>
  <c r="L34" i="77"/>
  <c r="H34" i="77"/>
  <c r="D34" i="77"/>
  <c r="B34" i="77"/>
  <c r="T33" i="77"/>
  <c r="P33" i="77"/>
  <c r="X33" i="77" s="1"/>
  <c r="N33" i="77"/>
  <c r="L33" i="77"/>
  <c r="H33" i="77"/>
  <c r="D33" i="77"/>
  <c r="B33" i="77"/>
  <c r="T32" i="77"/>
  <c r="P32" i="77"/>
  <c r="X32" i="77" s="1"/>
  <c r="H32" i="77"/>
  <c r="L32" i="77" s="1"/>
  <c r="N32" i="77" s="1"/>
  <c r="D32" i="77"/>
  <c r="B32" i="77"/>
  <c r="Z31" i="77"/>
  <c r="T31" i="77"/>
  <c r="X31" i="77" s="1"/>
  <c r="P31" i="77"/>
  <c r="L31" i="77"/>
  <c r="N31" i="77" s="1"/>
  <c r="H31" i="77"/>
  <c r="D31" i="77"/>
  <c r="B31" i="77"/>
  <c r="X30" i="77"/>
  <c r="Z30" i="77" s="1"/>
  <c r="T30" i="77"/>
  <c r="P30" i="77"/>
  <c r="H30" i="77"/>
  <c r="D30" i="77"/>
  <c r="L30" i="77" s="1"/>
  <c r="N30" i="77" s="1"/>
  <c r="B30" i="77"/>
  <c r="Z29" i="77"/>
  <c r="X29" i="77"/>
  <c r="T29" i="77"/>
  <c r="P29" i="77"/>
  <c r="H29" i="77"/>
  <c r="N29" i="77" s="1"/>
  <c r="D29" i="77"/>
  <c r="B29" i="77"/>
  <c r="Z28" i="77"/>
  <c r="T28" i="77"/>
  <c r="X28" i="77" s="1"/>
  <c r="P28" i="77"/>
  <c r="H28" i="77"/>
  <c r="N28" i="77" s="1"/>
  <c r="D28" i="77"/>
  <c r="L28" i="77" s="1"/>
  <c r="B28" i="77"/>
  <c r="X27" i="77"/>
  <c r="Z27" i="77" s="1"/>
  <c r="T27" i="77"/>
  <c r="P27" i="77"/>
  <c r="N27" i="77"/>
  <c r="H27" i="77"/>
  <c r="L27" i="77" s="1"/>
  <c r="D27" i="77"/>
  <c r="B27" i="77"/>
  <c r="T26" i="77"/>
  <c r="P26" i="77"/>
  <c r="X26" i="77" s="1"/>
  <c r="Z26" i="77" s="1"/>
  <c r="N26" i="77"/>
  <c r="L26" i="77"/>
  <c r="H26" i="77"/>
  <c r="D26" i="77"/>
  <c r="B26" i="77"/>
  <c r="T25" i="77"/>
  <c r="P25" i="77"/>
  <c r="N25" i="77"/>
  <c r="L25" i="77"/>
  <c r="H25" i="77"/>
  <c r="D25" i="77"/>
  <c r="B25" i="77"/>
  <c r="X24" i="77"/>
  <c r="T24" i="77"/>
  <c r="P24" i="77"/>
  <c r="N24" i="77"/>
  <c r="H24" i="77"/>
  <c r="L24" i="77" s="1"/>
  <c r="D24" i="77"/>
  <c r="B24" i="77"/>
  <c r="T23" i="77"/>
  <c r="X23" i="77" s="1"/>
  <c r="P23" i="77"/>
  <c r="N23" i="77"/>
  <c r="L23" i="77"/>
  <c r="H23" i="77"/>
  <c r="D23" i="77"/>
  <c r="B23" i="77"/>
  <c r="X22" i="77"/>
  <c r="Z22" i="77" s="1"/>
  <c r="T22" i="77"/>
  <c r="P22" i="77"/>
  <c r="N22" i="77"/>
  <c r="H22" i="77"/>
  <c r="D22" i="77"/>
  <c r="L22" i="77" s="1"/>
  <c r="B22" i="77"/>
  <c r="Z21" i="77"/>
  <c r="X21" i="77"/>
  <c r="T21" i="77"/>
  <c r="P21" i="77"/>
  <c r="H21" i="77"/>
  <c r="D21" i="77"/>
  <c r="L21" i="77" s="1"/>
  <c r="B21" i="77"/>
  <c r="T20" i="77"/>
  <c r="X20" i="77" s="1"/>
  <c r="Z20" i="77" s="1"/>
  <c r="P20" i="77"/>
  <c r="H20" i="77"/>
  <c r="D20" i="77"/>
  <c r="L20" i="77" s="1"/>
  <c r="B20" i="77"/>
  <c r="X19" i="77"/>
  <c r="Z19" i="77" s="1"/>
  <c r="T19" i="77"/>
  <c r="P19" i="77"/>
  <c r="N19" i="77"/>
  <c r="H19" i="77"/>
  <c r="L19" i="77" s="1"/>
  <c r="D19" i="77"/>
  <c r="B19" i="77"/>
  <c r="T18" i="77"/>
  <c r="P18" i="77"/>
  <c r="X18" i="77" s="1"/>
  <c r="Z18" i="77" s="1"/>
  <c r="L18" i="77"/>
  <c r="N18" i="77" s="1"/>
  <c r="H18" i="77"/>
  <c r="D18" i="77"/>
  <c r="B18" i="77"/>
  <c r="T17" i="77"/>
  <c r="P17" i="77"/>
  <c r="N17" i="77"/>
  <c r="L17" i="77"/>
  <c r="H17" i="77"/>
  <c r="D17" i="77"/>
  <c r="B17" i="77"/>
  <c r="T16" i="77"/>
  <c r="P16" i="77"/>
  <c r="X16" i="77" s="1"/>
  <c r="H16" i="77"/>
  <c r="L16" i="77" s="1"/>
  <c r="N16" i="77" s="1"/>
  <c r="D16" i="77"/>
  <c r="B16" i="77"/>
  <c r="T15" i="77"/>
  <c r="P15" i="77"/>
  <c r="L15" i="77"/>
  <c r="N15" i="77" s="1"/>
  <c r="H15" i="77"/>
  <c r="D15" i="77"/>
  <c r="B15" i="77"/>
  <c r="X14" i="77"/>
  <c r="Z14" i="77" s="1"/>
  <c r="T14" i="77"/>
  <c r="P14" i="77"/>
  <c r="H14" i="77"/>
  <c r="D14" i="77"/>
  <c r="L14" i="77" s="1"/>
  <c r="N14" i="77" s="1"/>
  <c r="B14" i="77"/>
  <c r="T13" i="77"/>
  <c r="P13" i="77"/>
  <c r="X13" i="77" s="1"/>
  <c r="Z13" i="77" s="1"/>
  <c r="H13" i="77"/>
  <c r="D13" i="77"/>
  <c r="B13" i="77"/>
  <c r="D6" i="77"/>
  <c r="D4" i="77"/>
  <c r="Z76" i="76"/>
  <c r="X76" i="76"/>
  <c r="N76" i="76"/>
  <c r="L76" i="76"/>
  <c r="Z72" i="76"/>
  <c r="X72" i="76"/>
  <c r="T72" i="76"/>
  <c r="P72" i="76"/>
  <c r="L72" i="76"/>
  <c r="H72" i="76"/>
  <c r="N72" i="76" s="1"/>
  <c r="D72" i="76"/>
  <c r="X70" i="76"/>
  <c r="Z70" i="76" s="1"/>
  <c r="L70" i="76"/>
  <c r="N70" i="76" s="1"/>
  <c r="B70" i="76"/>
  <c r="V69" i="76"/>
  <c r="T69" i="76"/>
  <c r="Z69" i="76" s="1"/>
  <c r="P69" i="76"/>
  <c r="X69" i="76" s="1"/>
  <c r="H69" i="76"/>
  <c r="D69" i="76"/>
  <c r="L69" i="76" s="1"/>
  <c r="N69" i="76" s="1"/>
  <c r="B69" i="76"/>
  <c r="Z68" i="76"/>
  <c r="X68" i="76"/>
  <c r="L68" i="76"/>
  <c r="N68" i="76" s="1"/>
  <c r="B68" i="76"/>
  <c r="T67" i="76"/>
  <c r="P67" i="76"/>
  <c r="X67" i="76" s="1"/>
  <c r="N67" i="76"/>
  <c r="L67" i="76"/>
  <c r="H67" i="76"/>
  <c r="D67" i="76"/>
  <c r="B67" i="76"/>
  <c r="Z66" i="76"/>
  <c r="X66" i="76"/>
  <c r="N66" i="76"/>
  <c r="L66" i="76"/>
  <c r="B66" i="76"/>
  <c r="Z65" i="76"/>
  <c r="X65" i="76"/>
  <c r="N65" i="76"/>
  <c r="L65" i="76"/>
  <c r="B65" i="76"/>
  <c r="Z64" i="76"/>
  <c r="X64" i="76"/>
  <c r="N64" i="76"/>
  <c r="L64" i="76"/>
  <c r="B64" i="76"/>
  <c r="X63" i="76"/>
  <c r="Z63" i="76" s="1"/>
  <c r="N63" i="76"/>
  <c r="L63" i="76"/>
  <c r="B63" i="76"/>
  <c r="Z62" i="76"/>
  <c r="X62" i="76"/>
  <c r="N62" i="76"/>
  <c r="L62" i="76"/>
  <c r="B62" i="76"/>
  <c r="T61" i="76"/>
  <c r="Z61" i="76" s="1"/>
  <c r="P61" i="76"/>
  <c r="X61" i="76" s="1"/>
  <c r="N61" i="76"/>
  <c r="H61" i="76"/>
  <c r="D61" i="76"/>
  <c r="L61" i="76" s="1"/>
  <c r="B61" i="76"/>
  <c r="Z60" i="76"/>
  <c r="X60" i="76"/>
  <c r="N60" i="76"/>
  <c r="L60" i="76"/>
  <c r="B60" i="76"/>
  <c r="Z59" i="76"/>
  <c r="X59" i="76"/>
  <c r="N59" i="76"/>
  <c r="L59" i="76"/>
  <c r="B59" i="76"/>
  <c r="Z58" i="76"/>
  <c r="X58" i="76"/>
  <c r="L58" i="76"/>
  <c r="N58" i="76" s="1"/>
  <c r="B58" i="76"/>
  <c r="X57" i="76"/>
  <c r="Z57" i="76" s="1"/>
  <c r="N57" i="76"/>
  <c r="L57" i="76"/>
  <c r="B57" i="76"/>
  <c r="X56" i="76"/>
  <c r="T56" i="76"/>
  <c r="P56" i="76"/>
  <c r="H56" i="76"/>
  <c r="D56" i="76"/>
  <c r="B56" i="76"/>
  <c r="Z55" i="76"/>
  <c r="X55" i="76"/>
  <c r="N55" i="76"/>
  <c r="L55" i="76"/>
  <c r="B55" i="76"/>
  <c r="X54" i="76"/>
  <c r="Z54" i="76" s="1"/>
  <c r="N54" i="76"/>
  <c r="L54" i="76"/>
  <c r="B54" i="76"/>
  <c r="T53" i="76"/>
  <c r="Z53" i="76" s="1"/>
  <c r="P53" i="76"/>
  <c r="X53" i="76" s="1"/>
  <c r="N53" i="76"/>
  <c r="H53" i="76"/>
  <c r="D53" i="76"/>
  <c r="L53" i="76" s="1"/>
  <c r="B53" i="76"/>
  <c r="Z52" i="76"/>
  <c r="X52" i="76"/>
  <c r="L52" i="76"/>
  <c r="N52" i="76" s="1"/>
  <c r="B52" i="76"/>
  <c r="T51" i="76"/>
  <c r="Z51" i="76" s="1"/>
  <c r="P51" i="76"/>
  <c r="X51" i="76" s="1"/>
  <c r="N51" i="76"/>
  <c r="L51" i="76"/>
  <c r="H51" i="76"/>
  <c r="D51" i="76"/>
  <c r="B51" i="76"/>
  <c r="X50" i="76"/>
  <c r="Z50" i="76" s="1"/>
  <c r="N50" i="76"/>
  <c r="L50" i="76"/>
  <c r="B50" i="76"/>
  <c r="T49" i="76"/>
  <c r="P49" i="76"/>
  <c r="X49" i="76" s="1"/>
  <c r="Z49" i="76" s="1"/>
  <c r="N49" i="76"/>
  <c r="L49" i="76"/>
  <c r="H49" i="76"/>
  <c r="D49" i="76"/>
  <c r="B49" i="76"/>
  <c r="X48" i="76"/>
  <c r="Z48" i="76" s="1"/>
  <c r="N48" i="76"/>
  <c r="L48" i="76"/>
  <c r="B48" i="76"/>
  <c r="Z47" i="76"/>
  <c r="X47" i="76"/>
  <c r="T47" i="76"/>
  <c r="P47" i="76"/>
  <c r="H47" i="76"/>
  <c r="N47" i="76" s="1"/>
  <c r="D47" i="76"/>
  <c r="L47" i="76" s="1"/>
  <c r="B47" i="76"/>
  <c r="Z46" i="76"/>
  <c r="X46" i="76"/>
  <c r="L46" i="76"/>
  <c r="N46" i="76" s="1"/>
  <c r="B46" i="76"/>
  <c r="T45" i="76"/>
  <c r="Z45" i="76" s="1"/>
  <c r="P45" i="76"/>
  <c r="X45" i="76" s="1"/>
  <c r="H45" i="76"/>
  <c r="D45" i="76"/>
  <c r="L45" i="76" s="1"/>
  <c r="B45" i="76"/>
  <c r="Z44" i="76"/>
  <c r="X44" i="76"/>
  <c r="L44" i="76"/>
  <c r="N44" i="76" s="1"/>
  <c r="B44" i="76"/>
  <c r="X43" i="76"/>
  <c r="Z43" i="76" s="1"/>
  <c r="N43" i="76"/>
  <c r="L43" i="76"/>
  <c r="B43" i="76"/>
  <c r="T42" i="76"/>
  <c r="P42" i="76"/>
  <c r="X42" i="76" s="1"/>
  <c r="H42" i="76"/>
  <c r="D42" i="76"/>
  <c r="L42" i="76" s="1"/>
  <c r="N42" i="76" s="1"/>
  <c r="B42" i="76"/>
  <c r="Z41" i="76"/>
  <c r="X41" i="76"/>
  <c r="N41" i="76"/>
  <c r="L41" i="76"/>
  <c r="B41" i="76"/>
  <c r="Z40" i="76"/>
  <c r="T40" i="76"/>
  <c r="P40" i="76"/>
  <c r="X40" i="76" s="1"/>
  <c r="N40" i="76"/>
  <c r="L40" i="76"/>
  <c r="H40" i="76"/>
  <c r="D40" i="76"/>
  <c r="B40" i="76"/>
  <c r="Z39" i="76"/>
  <c r="X39" i="76"/>
  <c r="N39" i="76"/>
  <c r="L39" i="76"/>
  <c r="B39" i="76"/>
  <c r="Z38" i="76"/>
  <c r="X38" i="76"/>
  <c r="T38" i="76"/>
  <c r="P38" i="76"/>
  <c r="H38" i="76"/>
  <c r="N38" i="76" s="1"/>
  <c r="D38" i="76"/>
  <c r="B38" i="76"/>
  <c r="Z37" i="76"/>
  <c r="X37" i="76"/>
  <c r="N37" i="76"/>
  <c r="L37" i="76"/>
  <c r="B37" i="76"/>
  <c r="X36" i="76"/>
  <c r="V36" i="76"/>
  <c r="T36" i="76"/>
  <c r="Z36" i="76" s="1"/>
  <c r="P36" i="76"/>
  <c r="H36" i="76"/>
  <c r="N36" i="76" s="1"/>
  <c r="D36" i="76"/>
  <c r="L36" i="76" s="1"/>
  <c r="B36" i="76"/>
  <c r="Z35" i="76"/>
  <c r="X35" i="76"/>
  <c r="N35" i="76"/>
  <c r="L35" i="76"/>
  <c r="B35" i="76"/>
  <c r="Z34" i="76"/>
  <c r="X34" i="76"/>
  <c r="N34" i="76"/>
  <c r="L34" i="76"/>
  <c r="B34" i="76"/>
  <c r="Z33" i="76"/>
  <c r="X33" i="76"/>
  <c r="N33" i="76"/>
  <c r="L33" i="76"/>
  <c r="B33" i="76"/>
  <c r="T32" i="76"/>
  <c r="Z32" i="76" s="1"/>
  <c r="P32" i="76"/>
  <c r="X32" i="76" s="1"/>
  <c r="N32" i="76"/>
  <c r="H32" i="76"/>
  <c r="D32" i="76"/>
  <c r="L32" i="76" s="1"/>
  <c r="B32" i="76"/>
  <c r="Z31" i="76"/>
  <c r="X31" i="76"/>
  <c r="N31" i="76"/>
  <c r="L31" i="76"/>
  <c r="B31" i="76"/>
  <c r="Z30" i="76"/>
  <c r="X30" i="76"/>
  <c r="N30" i="76"/>
  <c r="L30" i="76"/>
  <c r="B30" i="76"/>
  <c r="Z29" i="76"/>
  <c r="X29" i="76"/>
  <c r="N29" i="76"/>
  <c r="L29" i="76"/>
  <c r="B29" i="76"/>
  <c r="Z28" i="76"/>
  <c r="X28" i="76"/>
  <c r="N28" i="76"/>
  <c r="L28" i="76"/>
  <c r="B28" i="76"/>
  <c r="Z27" i="76"/>
  <c r="X27" i="76"/>
  <c r="N27" i="76"/>
  <c r="L27" i="76"/>
  <c r="B27" i="76"/>
  <c r="X26" i="76"/>
  <c r="Z26" i="76" s="1"/>
  <c r="R26" i="76"/>
  <c r="N26" i="76"/>
  <c r="L26" i="76"/>
  <c r="B26" i="76"/>
  <c r="Z25" i="76"/>
  <c r="X25" i="76"/>
  <c r="V25" i="76"/>
  <c r="N25" i="76"/>
  <c r="L25" i="76"/>
  <c r="B25" i="76"/>
  <c r="X24" i="76"/>
  <c r="Z24" i="76" s="1"/>
  <c r="V24" i="76"/>
  <c r="N24" i="76"/>
  <c r="L24" i="76"/>
  <c r="B24" i="76"/>
  <c r="Z23" i="76"/>
  <c r="X23" i="76"/>
  <c r="T23" i="76"/>
  <c r="P23" i="76"/>
  <c r="H23" i="76"/>
  <c r="N23" i="76" s="1"/>
  <c r="D23" i="76"/>
  <c r="B23" i="76"/>
  <c r="T22" i="76"/>
  <c r="P22" i="76"/>
  <c r="H22" i="76"/>
  <c r="D22" i="76"/>
  <c r="L22" i="76" s="1"/>
  <c r="X18" i="76"/>
  <c r="Z18" i="76" s="1"/>
  <c r="N18" i="76"/>
  <c r="L18" i="76"/>
  <c r="B18" i="76"/>
  <c r="X17" i="76"/>
  <c r="Z17" i="76" s="1"/>
  <c r="V17" i="76"/>
  <c r="N17" i="76"/>
  <c r="L17" i="76"/>
  <c r="B17" i="76"/>
  <c r="X16" i="76"/>
  <c r="Z16" i="76" s="1"/>
  <c r="V16" i="76"/>
  <c r="T16" i="76"/>
  <c r="P16" i="76"/>
  <c r="H16" i="76"/>
  <c r="D16" i="76"/>
  <c r="Z14" i="76"/>
  <c r="T14" i="76"/>
  <c r="P14" i="76"/>
  <c r="X14" i="76" s="1"/>
  <c r="L14" i="76"/>
  <c r="H14" i="76"/>
  <c r="N14" i="76" s="1"/>
  <c r="D14" i="76"/>
  <c r="B14" i="76"/>
  <c r="T13" i="76"/>
  <c r="Z13" i="76" s="1"/>
  <c r="P13" i="76"/>
  <c r="X13" i="76" s="1"/>
  <c r="N13" i="76"/>
  <c r="L13" i="76"/>
  <c r="H13" i="76"/>
  <c r="H12" i="76" s="1"/>
  <c r="D13" i="76"/>
  <c r="D12" i="76" s="1"/>
  <c r="B13" i="76"/>
  <c r="T12" i="76"/>
  <c r="P12" i="76"/>
  <c r="R18" i="76" s="1"/>
  <c r="D6" i="76"/>
  <c r="D4" i="76"/>
  <c r="X31" i="75"/>
  <c r="Z31" i="75" s="1"/>
  <c r="N31" i="75"/>
  <c r="L31" i="75"/>
  <c r="T27" i="75"/>
  <c r="Z27" i="75" s="1"/>
  <c r="P27" i="75"/>
  <c r="X27" i="75" s="1"/>
  <c r="N27" i="75"/>
  <c r="H27" i="75"/>
  <c r="D27" i="75"/>
  <c r="L27" i="75" s="1"/>
  <c r="Z25" i="75"/>
  <c r="X25" i="75"/>
  <c r="T25" i="75"/>
  <c r="P25" i="75"/>
  <c r="H25" i="75"/>
  <c r="D25" i="75"/>
  <c r="P23" i="75"/>
  <c r="X21" i="75"/>
  <c r="Z21" i="75" s="1"/>
  <c r="N21" i="75"/>
  <c r="L21" i="75"/>
  <c r="B21" i="75"/>
  <c r="Z20" i="75"/>
  <c r="X20" i="75"/>
  <c r="N20" i="75"/>
  <c r="L20" i="75"/>
  <c r="B20" i="75"/>
  <c r="Z19" i="75"/>
  <c r="X19" i="75"/>
  <c r="N19" i="75"/>
  <c r="L19" i="75"/>
  <c r="B19" i="75"/>
  <c r="T18" i="75"/>
  <c r="P18" i="75"/>
  <c r="X18" i="75" s="1"/>
  <c r="Z18" i="75" s="1"/>
  <c r="N18" i="75"/>
  <c r="L18" i="75"/>
  <c r="H18" i="75"/>
  <c r="D18" i="75"/>
  <c r="T16" i="75"/>
  <c r="P16" i="75"/>
  <c r="X16" i="75" s="1"/>
  <c r="N16" i="75"/>
  <c r="L16" i="75"/>
  <c r="H16" i="75"/>
  <c r="D16" i="75"/>
  <c r="B16" i="75"/>
  <c r="X15" i="75"/>
  <c r="T15" i="75"/>
  <c r="Z15" i="75" s="1"/>
  <c r="P15" i="75"/>
  <c r="H15" i="75"/>
  <c r="D15" i="75"/>
  <c r="L15" i="75" s="1"/>
  <c r="N15" i="75" s="1"/>
  <c r="B15" i="75"/>
  <c r="Z14" i="75"/>
  <c r="X14" i="75"/>
  <c r="T14" i="75"/>
  <c r="P14" i="75"/>
  <c r="P12" i="75" s="1"/>
  <c r="H14" i="75"/>
  <c r="D14" i="75"/>
  <c r="L14" i="75" s="1"/>
  <c r="B14" i="75"/>
  <c r="Z13" i="75"/>
  <c r="X13" i="75"/>
  <c r="T13" i="75"/>
  <c r="P13" i="75"/>
  <c r="H13" i="75"/>
  <c r="N13" i="75" s="1"/>
  <c r="D13" i="75"/>
  <c r="B13" i="75"/>
  <c r="H12" i="75"/>
  <c r="D6" i="75"/>
  <c r="D4" i="75"/>
  <c r="R51" i="74"/>
  <c r="J48" i="74"/>
  <c r="Z46" i="74"/>
  <c r="X46" i="74"/>
  <c r="N46" i="74"/>
  <c r="L46" i="74"/>
  <c r="R44" i="74"/>
  <c r="Z42" i="74"/>
  <c r="X42" i="74"/>
  <c r="T42" i="74"/>
  <c r="P42" i="74"/>
  <c r="J42" i="74"/>
  <c r="H42" i="74"/>
  <c r="N42" i="74" s="1"/>
  <c r="D42" i="74"/>
  <c r="X40" i="74"/>
  <c r="Z40" i="74" s="1"/>
  <c r="N40" i="74"/>
  <c r="L40" i="74"/>
  <c r="B40" i="74"/>
  <c r="T39" i="74"/>
  <c r="P39" i="74"/>
  <c r="H39" i="74"/>
  <c r="N39" i="74" s="1"/>
  <c r="D39" i="74"/>
  <c r="L39" i="74" s="1"/>
  <c r="B39" i="74"/>
  <c r="X38" i="74"/>
  <c r="Z38" i="74" s="1"/>
  <c r="N38" i="74"/>
  <c r="L38" i="74"/>
  <c r="J38" i="74"/>
  <c r="F38" i="74"/>
  <c r="B38" i="74"/>
  <c r="T37" i="74"/>
  <c r="Z37" i="74" s="1"/>
  <c r="P37" i="74"/>
  <c r="X37" i="74" s="1"/>
  <c r="N37" i="74"/>
  <c r="H37" i="74"/>
  <c r="D37" i="74"/>
  <c r="L37" i="74" s="1"/>
  <c r="B37" i="74"/>
  <c r="Z36" i="74"/>
  <c r="X36" i="74"/>
  <c r="N36" i="74"/>
  <c r="L36" i="74"/>
  <c r="B36" i="74"/>
  <c r="T35" i="74"/>
  <c r="P35" i="74"/>
  <c r="X35" i="74" s="1"/>
  <c r="Z35" i="74" s="1"/>
  <c r="N35" i="74"/>
  <c r="L35" i="74"/>
  <c r="J35" i="74"/>
  <c r="H35" i="74"/>
  <c r="D35" i="74"/>
  <c r="B35" i="74"/>
  <c r="X34" i="74"/>
  <c r="Z34" i="74" s="1"/>
  <c r="N34" i="74"/>
  <c r="L34" i="74"/>
  <c r="B34" i="74"/>
  <c r="X33" i="74"/>
  <c r="Z33" i="74" s="1"/>
  <c r="N33" i="74"/>
  <c r="L33" i="74"/>
  <c r="B33" i="74"/>
  <c r="Z32" i="74"/>
  <c r="X32" i="74"/>
  <c r="T32" i="74"/>
  <c r="P32" i="74"/>
  <c r="J32" i="74"/>
  <c r="H32" i="74"/>
  <c r="N32" i="74" s="1"/>
  <c r="D32" i="74"/>
  <c r="B32" i="74"/>
  <c r="X31" i="74"/>
  <c r="Z31" i="74" s="1"/>
  <c r="R31" i="74"/>
  <c r="N31" i="74"/>
  <c r="L31" i="74"/>
  <c r="B31" i="74"/>
  <c r="T30" i="74"/>
  <c r="P30" i="74"/>
  <c r="H30" i="74"/>
  <c r="N30" i="74" s="1"/>
  <c r="F30" i="74"/>
  <c r="D30" i="74"/>
  <c r="L30" i="74" s="1"/>
  <c r="B30" i="74"/>
  <c r="Z29" i="74"/>
  <c r="X29" i="74"/>
  <c r="L29" i="74"/>
  <c r="N29" i="74" s="1"/>
  <c r="J29" i="74"/>
  <c r="B29" i="74"/>
  <c r="T28" i="74"/>
  <c r="R28" i="74"/>
  <c r="P28" i="74"/>
  <c r="X28" i="74" s="1"/>
  <c r="H28" i="74"/>
  <c r="N28" i="74" s="1"/>
  <c r="D28" i="74"/>
  <c r="L28" i="74" s="1"/>
  <c r="B28" i="74"/>
  <c r="Z27" i="74"/>
  <c r="X27" i="74"/>
  <c r="N27" i="74"/>
  <c r="L27" i="74"/>
  <c r="F27" i="74"/>
  <c r="B27" i="74"/>
  <c r="T26" i="74"/>
  <c r="P26" i="74"/>
  <c r="X26" i="74" s="1"/>
  <c r="N26" i="74"/>
  <c r="L26" i="74"/>
  <c r="H26" i="74"/>
  <c r="D26" i="74"/>
  <c r="B26" i="74"/>
  <c r="X25" i="74"/>
  <c r="Z25" i="74" s="1"/>
  <c r="N25" i="74"/>
  <c r="L25" i="74"/>
  <c r="B25" i="74"/>
  <c r="Z24" i="74"/>
  <c r="X24" i="74"/>
  <c r="N24" i="74"/>
  <c r="L24" i="74"/>
  <c r="F24" i="74"/>
  <c r="B24" i="74"/>
  <c r="Z23" i="74"/>
  <c r="X23" i="74"/>
  <c r="N23" i="74"/>
  <c r="L23" i="74"/>
  <c r="F23" i="74"/>
  <c r="B23" i="74"/>
  <c r="X22" i="74"/>
  <c r="Z22" i="74" s="1"/>
  <c r="N22" i="74"/>
  <c r="L22" i="74"/>
  <c r="J22" i="74"/>
  <c r="F22" i="74"/>
  <c r="B22" i="74"/>
  <c r="X21" i="74"/>
  <c r="Z21" i="74" s="1"/>
  <c r="N21" i="74"/>
  <c r="L21" i="74"/>
  <c r="J21" i="74"/>
  <c r="B21" i="74"/>
  <c r="T20" i="74"/>
  <c r="R20" i="74"/>
  <c r="P20" i="74"/>
  <c r="X20" i="74" s="1"/>
  <c r="H20" i="74"/>
  <c r="N20" i="74" s="1"/>
  <c r="D20" i="74"/>
  <c r="L20" i="74" s="1"/>
  <c r="B20" i="74"/>
  <c r="T19" i="74"/>
  <c r="P19" i="74"/>
  <c r="X19" i="74" s="1"/>
  <c r="Z19" i="74" s="1"/>
  <c r="L19" i="74"/>
  <c r="N19" i="74" s="1"/>
  <c r="J19" i="74"/>
  <c r="H19" i="74"/>
  <c r="D19" i="74"/>
  <c r="T17" i="74"/>
  <c r="F17" i="74"/>
  <c r="D17" i="74"/>
  <c r="Z15" i="74"/>
  <c r="X15" i="74"/>
  <c r="N15" i="74"/>
  <c r="L15" i="74"/>
  <c r="J15" i="74"/>
  <c r="F15" i="74"/>
  <c r="B15" i="74"/>
  <c r="T14" i="74"/>
  <c r="P14" i="74"/>
  <c r="X14" i="74" s="1"/>
  <c r="Z14" i="74" s="1"/>
  <c r="N14" i="74"/>
  <c r="L14" i="74"/>
  <c r="H14" i="74"/>
  <c r="F14" i="74"/>
  <c r="D14" i="74"/>
  <c r="T12" i="74"/>
  <c r="V30" i="74" s="1"/>
  <c r="P12" i="74"/>
  <c r="R33" i="74" s="1"/>
  <c r="H12" i="74"/>
  <c r="J46" i="74" s="1"/>
  <c r="D12" i="74"/>
  <c r="F48" i="74" s="1"/>
  <c r="D6" i="74"/>
  <c r="D4" i="74"/>
  <c r="Z69" i="73"/>
  <c r="X69" i="73"/>
  <c r="L69" i="73"/>
  <c r="N69" i="73" s="1"/>
  <c r="T65" i="73"/>
  <c r="Z65" i="73" s="1"/>
  <c r="R65" i="73"/>
  <c r="P65" i="73"/>
  <c r="X65" i="73" s="1"/>
  <c r="H65" i="73"/>
  <c r="N65" i="73" s="1"/>
  <c r="D65" i="73"/>
  <c r="L65" i="73" s="1"/>
  <c r="Z63" i="73"/>
  <c r="X63" i="73"/>
  <c r="L63" i="73"/>
  <c r="N63" i="73" s="1"/>
  <c r="B63" i="73"/>
  <c r="T62" i="73"/>
  <c r="P62" i="73"/>
  <c r="X62" i="73" s="1"/>
  <c r="Z62" i="73" s="1"/>
  <c r="L62" i="73"/>
  <c r="N62" i="73" s="1"/>
  <c r="H62" i="73"/>
  <c r="D62" i="73"/>
  <c r="B62" i="73"/>
  <c r="X61" i="73"/>
  <c r="Z61" i="73" s="1"/>
  <c r="V61" i="73"/>
  <c r="N61" i="73"/>
  <c r="L61" i="73"/>
  <c r="B61" i="73"/>
  <c r="X60" i="73"/>
  <c r="Z60" i="73" s="1"/>
  <c r="T60" i="73"/>
  <c r="P60" i="73"/>
  <c r="H60" i="73"/>
  <c r="D60" i="73"/>
  <c r="L60" i="73" s="1"/>
  <c r="B60" i="73"/>
  <c r="X59" i="73"/>
  <c r="Z59" i="73" s="1"/>
  <c r="N59" i="73"/>
  <c r="L59" i="73"/>
  <c r="B59" i="73"/>
  <c r="Z58" i="73"/>
  <c r="X58" i="73"/>
  <c r="R58" i="73"/>
  <c r="N58" i="73"/>
  <c r="L58" i="73"/>
  <c r="B58" i="73"/>
  <c r="Z57" i="73"/>
  <c r="X57" i="73"/>
  <c r="N57" i="73"/>
  <c r="L57" i="73"/>
  <c r="B57" i="73"/>
  <c r="X56" i="73"/>
  <c r="Z56" i="73" s="1"/>
  <c r="N56" i="73"/>
  <c r="L56" i="73"/>
  <c r="B56" i="73"/>
  <c r="Z55" i="73"/>
  <c r="X55" i="73"/>
  <c r="N55" i="73"/>
  <c r="L55" i="73"/>
  <c r="B55" i="73"/>
  <c r="T54" i="73"/>
  <c r="P54" i="73"/>
  <c r="X54" i="73" s="1"/>
  <c r="Z54" i="73" s="1"/>
  <c r="L54" i="73"/>
  <c r="H54" i="73"/>
  <c r="N54" i="73" s="1"/>
  <c r="D54" i="73"/>
  <c r="B54" i="73"/>
  <c r="X53" i="73"/>
  <c r="Z53" i="73" s="1"/>
  <c r="N53" i="73"/>
  <c r="L53" i="73"/>
  <c r="B53" i="73"/>
  <c r="X52" i="73"/>
  <c r="Z52" i="73" s="1"/>
  <c r="N52" i="73"/>
  <c r="L52" i="73"/>
  <c r="B52" i="73"/>
  <c r="Z51" i="73"/>
  <c r="X51" i="73"/>
  <c r="T51" i="73"/>
  <c r="P51" i="73"/>
  <c r="H51" i="73"/>
  <c r="N51" i="73" s="1"/>
  <c r="D51" i="73"/>
  <c r="B51" i="73"/>
  <c r="X50" i="73"/>
  <c r="Z50" i="73" s="1"/>
  <c r="N50" i="73"/>
  <c r="L50" i="73"/>
  <c r="B50" i="73"/>
  <c r="T49" i="73"/>
  <c r="P49" i="73"/>
  <c r="X49" i="73" s="1"/>
  <c r="H49" i="73"/>
  <c r="N49" i="73" s="1"/>
  <c r="D49" i="73"/>
  <c r="L49" i="73" s="1"/>
  <c r="B49" i="73"/>
  <c r="Z48" i="73"/>
  <c r="X48" i="73"/>
  <c r="N48" i="73"/>
  <c r="L48" i="73"/>
  <c r="B48" i="73"/>
  <c r="Z47" i="73"/>
  <c r="X47" i="73"/>
  <c r="N47" i="73"/>
  <c r="L47" i="73"/>
  <c r="B47" i="73"/>
  <c r="T46" i="73"/>
  <c r="P46" i="73"/>
  <c r="H46" i="73"/>
  <c r="N46" i="73" s="1"/>
  <c r="D46" i="73"/>
  <c r="L46" i="73" s="1"/>
  <c r="B46" i="73"/>
  <c r="X45" i="73"/>
  <c r="Z45" i="73" s="1"/>
  <c r="N45" i="73"/>
  <c r="L45" i="73"/>
  <c r="J45" i="73"/>
  <c r="B45" i="73"/>
  <c r="T44" i="73"/>
  <c r="Z44" i="73" s="1"/>
  <c r="P44" i="73"/>
  <c r="X44" i="73" s="1"/>
  <c r="H44" i="73"/>
  <c r="D44" i="73"/>
  <c r="L44" i="73" s="1"/>
  <c r="N44" i="73" s="1"/>
  <c r="B44" i="73"/>
  <c r="Z43" i="73"/>
  <c r="X43" i="73"/>
  <c r="N43" i="73"/>
  <c r="L43" i="73"/>
  <c r="B43" i="73"/>
  <c r="T42" i="73"/>
  <c r="P42" i="73"/>
  <c r="X42" i="73" s="1"/>
  <c r="Z42" i="73" s="1"/>
  <c r="L42" i="73"/>
  <c r="H42" i="73"/>
  <c r="D42" i="73"/>
  <c r="B42" i="73"/>
  <c r="Z41" i="73"/>
  <c r="X41" i="73"/>
  <c r="N41" i="73"/>
  <c r="L41" i="73"/>
  <c r="B41" i="73"/>
  <c r="X40" i="73"/>
  <c r="T40" i="73"/>
  <c r="Z40" i="73" s="1"/>
  <c r="P40" i="73"/>
  <c r="H40" i="73"/>
  <c r="D40" i="73"/>
  <c r="B40" i="73"/>
  <c r="X39" i="73"/>
  <c r="Z39" i="73" s="1"/>
  <c r="N39" i="73"/>
  <c r="L39" i="73"/>
  <c r="B39" i="73"/>
  <c r="T38" i="73"/>
  <c r="P38" i="73"/>
  <c r="H38" i="73"/>
  <c r="N38" i="73" s="1"/>
  <c r="D38" i="73"/>
  <c r="L38" i="73" s="1"/>
  <c r="B38" i="73"/>
  <c r="Z37" i="73"/>
  <c r="X37" i="73"/>
  <c r="N37" i="73"/>
  <c r="L37" i="73"/>
  <c r="B37" i="73"/>
  <c r="Z36" i="73"/>
  <c r="X36" i="73"/>
  <c r="N36" i="73"/>
  <c r="L36" i="73"/>
  <c r="B36" i="73"/>
  <c r="Z35" i="73"/>
  <c r="X35" i="73"/>
  <c r="N35" i="73"/>
  <c r="L35" i="73"/>
  <c r="B35" i="73"/>
  <c r="Z34" i="73"/>
  <c r="X34" i="73"/>
  <c r="R34" i="73"/>
  <c r="N34" i="73"/>
  <c r="L34" i="73"/>
  <c r="B34" i="73"/>
  <c r="T33" i="73"/>
  <c r="Z33" i="73" s="1"/>
  <c r="P33" i="73"/>
  <c r="X33" i="73" s="1"/>
  <c r="H33" i="73"/>
  <c r="N33" i="73" s="1"/>
  <c r="D33" i="73"/>
  <c r="L33" i="73" s="1"/>
  <c r="B33" i="73"/>
  <c r="Z32" i="73"/>
  <c r="X32" i="73"/>
  <c r="N32" i="73"/>
  <c r="L32" i="73"/>
  <c r="B32" i="73"/>
  <c r="X31" i="73"/>
  <c r="Z31" i="73" s="1"/>
  <c r="N31" i="73"/>
  <c r="L31" i="73"/>
  <c r="B31" i="73"/>
  <c r="X30" i="73"/>
  <c r="Z30" i="73" s="1"/>
  <c r="N30" i="73"/>
  <c r="L30" i="73"/>
  <c r="B30" i="73"/>
  <c r="Z29" i="73"/>
  <c r="X29" i="73"/>
  <c r="N29" i="73"/>
  <c r="L29" i="73"/>
  <c r="B29" i="73"/>
  <c r="X28" i="73"/>
  <c r="Z28" i="73" s="1"/>
  <c r="V28" i="73"/>
  <c r="N28" i="73"/>
  <c r="L28" i="73"/>
  <c r="B28" i="73"/>
  <c r="Z27" i="73"/>
  <c r="X27" i="73"/>
  <c r="N27" i="73"/>
  <c r="L27" i="73"/>
  <c r="B27" i="73"/>
  <c r="Z26" i="73"/>
  <c r="X26" i="73"/>
  <c r="N26" i="73"/>
  <c r="L26" i="73"/>
  <c r="B26" i="73"/>
  <c r="X25" i="73"/>
  <c r="Z25" i="73" s="1"/>
  <c r="N25" i="73"/>
  <c r="L25" i="73"/>
  <c r="B25" i="73"/>
  <c r="Z24" i="73"/>
  <c r="X24" i="73"/>
  <c r="N24" i="73"/>
  <c r="L24" i="73"/>
  <c r="B24" i="73"/>
  <c r="T23" i="73"/>
  <c r="P23" i="73"/>
  <c r="H23" i="73"/>
  <c r="N23" i="73" s="1"/>
  <c r="D23" i="73"/>
  <c r="L23" i="73" s="1"/>
  <c r="B23" i="73"/>
  <c r="T22" i="73"/>
  <c r="P22" i="73"/>
  <c r="X22" i="73" s="1"/>
  <c r="N22" i="73"/>
  <c r="L22" i="73"/>
  <c r="H22" i="73"/>
  <c r="D22" i="73"/>
  <c r="Z18" i="73"/>
  <c r="X18" i="73"/>
  <c r="N18" i="73"/>
  <c r="L18" i="73"/>
  <c r="J18" i="73"/>
  <c r="B18" i="73"/>
  <c r="X17" i="73"/>
  <c r="Z17" i="73" s="1"/>
  <c r="V17" i="73"/>
  <c r="L17" i="73"/>
  <c r="N17" i="73" s="1"/>
  <c r="B17" i="73"/>
  <c r="T16" i="73"/>
  <c r="R16" i="73"/>
  <c r="P16" i="73"/>
  <c r="X16" i="73" s="1"/>
  <c r="H16" i="73"/>
  <c r="D16" i="73"/>
  <c r="L16" i="73" s="1"/>
  <c r="Z14" i="73"/>
  <c r="X14" i="73"/>
  <c r="T14" i="73"/>
  <c r="P14" i="73"/>
  <c r="N14" i="73"/>
  <c r="H14" i="73"/>
  <c r="D14" i="73"/>
  <c r="L14" i="73" s="1"/>
  <c r="B14" i="73"/>
  <c r="T13" i="73"/>
  <c r="P13" i="73"/>
  <c r="X13" i="73" s="1"/>
  <c r="Z13" i="73" s="1"/>
  <c r="H13" i="73"/>
  <c r="N13" i="73" s="1"/>
  <c r="D13" i="73"/>
  <c r="B13" i="73"/>
  <c r="T12" i="73"/>
  <c r="V57" i="73" s="1"/>
  <c r="P12" i="73"/>
  <c r="R22" i="73" s="1"/>
  <c r="H12" i="73"/>
  <c r="D6" i="73"/>
  <c r="D4" i="73"/>
  <c r="X98" i="71"/>
  <c r="Z98" i="71" s="1"/>
  <c r="N98" i="71"/>
  <c r="L98" i="71"/>
  <c r="Z94" i="71"/>
  <c r="X94" i="71"/>
  <c r="T94" i="71"/>
  <c r="P94" i="71"/>
  <c r="L94" i="71"/>
  <c r="H94" i="71"/>
  <c r="N94" i="71" s="1"/>
  <c r="D94" i="71"/>
  <c r="B94" i="71"/>
  <c r="T93" i="71"/>
  <c r="P93" i="71"/>
  <c r="H93" i="71"/>
  <c r="N93" i="71" s="1"/>
  <c r="D93" i="71"/>
  <c r="B93" i="71"/>
  <c r="T92" i="71"/>
  <c r="P92" i="71"/>
  <c r="N92" i="71"/>
  <c r="L92" i="71"/>
  <c r="H92" i="71"/>
  <c r="D92" i="71"/>
  <c r="B92" i="71"/>
  <c r="H91" i="71"/>
  <c r="X89" i="71"/>
  <c r="Z89" i="71" s="1"/>
  <c r="N89" i="71"/>
  <c r="L89" i="71"/>
  <c r="B89" i="71"/>
  <c r="T88" i="71"/>
  <c r="P88" i="71"/>
  <c r="N88" i="71"/>
  <c r="H88" i="71"/>
  <c r="D88" i="71"/>
  <c r="L88" i="71" s="1"/>
  <c r="B88" i="71"/>
  <c r="Z87" i="71"/>
  <c r="X87" i="71"/>
  <c r="N87" i="71"/>
  <c r="L87" i="71"/>
  <c r="B87" i="71"/>
  <c r="T86" i="71"/>
  <c r="P86" i="71"/>
  <c r="X86" i="71" s="1"/>
  <c r="Z86" i="71" s="1"/>
  <c r="N86" i="71"/>
  <c r="L86" i="71"/>
  <c r="H86" i="71"/>
  <c r="D86" i="71"/>
  <c r="B86" i="71"/>
  <c r="Z85" i="71"/>
  <c r="X85" i="71"/>
  <c r="N85" i="71"/>
  <c r="L85" i="71"/>
  <c r="B85" i="71"/>
  <c r="Z84" i="71"/>
  <c r="X84" i="71"/>
  <c r="L84" i="71"/>
  <c r="N84" i="71" s="1"/>
  <c r="B84" i="71"/>
  <c r="Z83" i="71"/>
  <c r="X83" i="71"/>
  <c r="N83" i="71"/>
  <c r="L83" i="71"/>
  <c r="B83" i="71"/>
  <c r="T82" i="71"/>
  <c r="P82" i="71"/>
  <c r="X82" i="71" s="1"/>
  <c r="N82" i="71"/>
  <c r="L82" i="71"/>
  <c r="H82" i="71"/>
  <c r="D82" i="71"/>
  <c r="B82" i="71"/>
  <c r="X81" i="71"/>
  <c r="Z81" i="71" s="1"/>
  <c r="N81" i="71"/>
  <c r="L81" i="71"/>
  <c r="B81" i="71"/>
  <c r="Z80" i="71"/>
  <c r="X80" i="71"/>
  <c r="T80" i="71"/>
  <c r="P80" i="71"/>
  <c r="L80" i="71"/>
  <c r="H80" i="71"/>
  <c r="N80" i="71" s="1"/>
  <c r="D80" i="71"/>
  <c r="B80" i="71"/>
  <c r="Z79" i="71"/>
  <c r="X79" i="71"/>
  <c r="N79" i="71"/>
  <c r="L79" i="71"/>
  <c r="B79" i="71"/>
  <c r="X78" i="71"/>
  <c r="T78" i="71"/>
  <c r="Z78" i="71" s="1"/>
  <c r="P78" i="71"/>
  <c r="H78" i="71"/>
  <c r="N78" i="71" s="1"/>
  <c r="D78" i="71"/>
  <c r="L78" i="71" s="1"/>
  <c r="B78" i="71"/>
  <c r="Z77" i="71"/>
  <c r="X77" i="71"/>
  <c r="N77" i="71"/>
  <c r="L77" i="71"/>
  <c r="B77" i="71"/>
  <c r="X76" i="71"/>
  <c r="Z76" i="71" s="1"/>
  <c r="N76" i="71"/>
  <c r="L76" i="71"/>
  <c r="B76" i="71"/>
  <c r="T75" i="71"/>
  <c r="P75" i="71"/>
  <c r="X75" i="71" s="1"/>
  <c r="H75" i="71"/>
  <c r="D75" i="71"/>
  <c r="L75" i="71" s="1"/>
  <c r="N75" i="71" s="1"/>
  <c r="B75" i="71"/>
  <c r="Z74" i="71"/>
  <c r="X74" i="71"/>
  <c r="N74" i="71"/>
  <c r="L74" i="71"/>
  <c r="B74" i="71"/>
  <c r="Z73" i="71"/>
  <c r="T73" i="71"/>
  <c r="P73" i="71"/>
  <c r="X73" i="71" s="1"/>
  <c r="N73" i="71"/>
  <c r="H73" i="71"/>
  <c r="L73" i="71" s="1"/>
  <c r="D73" i="71"/>
  <c r="B73" i="71"/>
  <c r="Z72" i="71"/>
  <c r="X72" i="71"/>
  <c r="N72" i="71"/>
  <c r="L72" i="71"/>
  <c r="B72" i="71"/>
  <c r="T71" i="71"/>
  <c r="X71" i="71" s="1"/>
  <c r="Z71" i="71" s="1"/>
  <c r="P71" i="71"/>
  <c r="N71" i="71"/>
  <c r="L71" i="71"/>
  <c r="H71" i="71"/>
  <c r="D71" i="71"/>
  <c r="B71" i="71"/>
  <c r="X70" i="71"/>
  <c r="Z70" i="71" s="1"/>
  <c r="N70" i="71"/>
  <c r="L70" i="71"/>
  <c r="B70" i="71"/>
  <c r="Z69" i="71"/>
  <c r="X69" i="71"/>
  <c r="T69" i="71"/>
  <c r="P69" i="71"/>
  <c r="H69" i="71"/>
  <c r="D69" i="71"/>
  <c r="B69" i="71"/>
  <c r="Z68" i="71"/>
  <c r="X68" i="71"/>
  <c r="N68" i="71"/>
  <c r="L68" i="71"/>
  <c r="B68" i="71"/>
  <c r="X67" i="71"/>
  <c r="Z67" i="71" s="1"/>
  <c r="N67" i="71"/>
  <c r="L67" i="71"/>
  <c r="B67" i="71"/>
  <c r="Z66" i="71"/>
  <c r="X66" i="71"/>
  <c r="N66" i="71"/>
  <c r="L66" i="71"/>
  <c r="B66" i="71"/>
  <c r="X65" i="71"/>
  <c r="Z65" i="71" s="1"/>
  <c r="L65" i="71"/>
  <c r="N65" i="71" s="1"/>
  <c r="B65" i="71"/>
  <c r="Z64" i="71"/>
  <c r="X64" i="71"/>
  <c r="N64" i="71"/>
  <c r="L64" i="71"/>
  <c r="B64" i="71"/>
  <c r="T63" i="71"/>
  <c r="P63" i="71"/>
  <c r="X63" i="71" s="1"/>
  <c r="Z63" i="71" s="1"/>
  <c r="N63" i="71"/>
  <c r="L63" i="71"/>
  <c r="H63" i="71"/>
  <c r="D63" i="71"/>
  <c r="B63" i="71"/>
  <c r="X62" i="71"/>
  <c r="Z62" i="71" s="1"/>
  <c r="N62" i="71"/>
  <c r="L62" i="71"/>
  <c r="B62" i="71"/>
  <c r="Z61" i="71"/>
  <c r="X61" i="71"/>
  <c r="L61" i="71"/>
  <c r="N61" i="71" s="1"/>
  <c r="B61" i="71"/>
  <c r="Z60" i="71"/>
  <c r="X60" i="71"/>
  <c r="N60" i="71"/>
  <c r="L60" i="71"/>
  <c r="B60" i="71"/>
  <c r="Z59" i="71"/>
  <c r="X59" i="71"/>
  <c r="L59" i="71"/>
  <c r="N59" i="71" s="1"/>
  <c r="J59" i="71"/>
  <c r="B59" i="71"/>
  <c r="Z58" i="71"/>
  <c r="X58" i="71"/>
  <c r="L58" i="71"/>
  <c r="N58" i="71" s="1"/>
  <c r="B58" i="71"/>
  <c r="X57" i="71"/>
  <c r="Z57" i="71" s="1"/>
  <c r="N57" i="71"/>
  <c r="L57" i="71"/>
  <c r="B57" i="71"/>
  <c r="X56" i="71"/>
  <c r="Z56" i="71" s="1"/>
  <c r="N56" i="71"/>
  <c r="L56" i="71"/>
  <c r="B56" i="71"/>
  <c r="X55" i="71"/>
  <c r="Z55" i="71" s="1"/>
  <c r="N55" i="71"/>
  <c r="L55" i="71"/>
  <c r="B55" i="71"/>
  <c r="X54" i="71"/>
  <c r="Z54" i="71" s="1"/>
  <c r="L54" i="71"/>
  <c r="N54" i="71" s="1"/>
  <c r="B54" i="71"/>
  <c r="Z53" i="71"/>
  <c r="X53" i="71"/>
  <c r="T53" i="71"/>
  <c r="P53" i="71"/>
  <c r="H53" i="71"/>
  <c r="D53" i="71"/>
  <c r="B53" i="71"/>
  <c r="T52" i="71"/>
  <c r="P52" i="71"/>
  <c r="H52" i="71"/>
  <c r="D52" i="71"/>
  <c r="L52" i="71" s="1"/>
  <c r="X48" i="71"/>
  <c r="Z48" i="71" s="1"/>
  <c r="N48" i="71"/>
  <c r="L48" i="71"/>
  <c r="B48" i="71"/>
  <c r="Z47" i="71"/>
  <c r="X47" i="71"/>
  <c r="N47" i="71"/>
  <c r="L47" i="71"/>
  <c r="B47" i="71"/>
  <c r="X46" i="71"/>
  <c r="Z46" i="71" s="1"/>
  <c r="N46" i="71"/>
  <c r="L46" i="71"/>
  <c r="B46" i="71"/>
  <c r="X45" i="71"/>
  <c r="Z45" i="71" s="1"/>
  <c r="N45" i="71"/>
  <c r="L45" i="71"/>
  <c r="B45" i="71"/>
  <c r="Z44" i="71"/>
  <c r="X44" i="71"/>
  <c r="N44" i="71"/>
  <c r="L44" i="71"/>
  <c r="B44" i="71"/>
  <c r="Z43" i="71"/>
  <c r="X43" i="71"/>
  <c r="N43" i="71"/>
  <c r="L43" i="71"/>
  <c r="B43" i="71"/>
  <c r="Z42" i="71"/>
  <c r="X42" i="71"/>
  <c r="L42" i="71"/>
  <c r="N42" i="71" s="1"/>
  <c r="B42" i="71"/>
  <c r="X41" i="71"/>
  <c r="Z41" i="71" s="1"/>
  <c r="L41" i="71"/>
  <c r="N41" i="71" s="1"/>
  <c r="B41" i="71"/>
  <c r="X40" i="71"/>
  <c r="Z40" i="71" s="1"/>
  <c r="N40" i="71"/>
  <c r="L40" i="71"/>
  <c r="B40" i="71"/>
  <c r="Z39" i="71"/>
  <c r="X39" i="71"/>
  <c r="N39" i="71"/>
  <c r="L39" i="71"/>
  <c r="B39" i="71"/>
  <c r="X38" i="71"/>
  <c r="Z38" i="71" s="1"/>
  <c r="L38" i="71"/>
  <c r="N38" i="71" s="1"/>
  <c r="B38" i="71"/>
  <c r="X37" i="71"/>
  <c r="Z37" i="71" s="1"/>
  <c r="L37" i="71"/>
  <c r="N37" i="71" s="1"/>
  <c r="B37" i="71"/>
  <c r="Z36" i="71"/>
  <c r="X36" i="71"/>
  <c r="N36" i="71"/>
  <c r="L36" i="71"/>
  <c r="B36" i="71"/>
  <c r="T35" i="71"/>
  <c r="Z35" i="71" s="1"/>
  <c r="P35" i="71"/>
  <c r="X35" i="71" s="1"/>
  <c r="N35" i="71"/>
  <c r="L35" i="71"/>
  <c r="H35" i="71"/>
  <c r="D35" i="71"/>
  <c r="T33" i="71"/>
  <c r="Z33" i="71" s="1"/>
  <c r="P33" i="71"/>
  <c r="X33" i="71" s="1"/>
  <c r="N33" i="71"/>
  <c r="H33" i="71"/>
  <c r="D33" i="71"/>
  <c r="L33" i="71" s="1"/>
  <c r="B33" i="71"/>
  <c r="T32" i="71"/>
  <c r="P32" i="71"/>
  <c r="H32" i="71"/>
  <c r="N32" i="71" s="1"/>
  <c r="D32" i="71"/>
  <c r="B32" i="71"/>
  <c r="Z31" i="71"/>
  <c r="X31" i="71"/>
  <c r="T31" i="71"/>
  <c r="P31" i="71"/>
  <c r="N31" i="71"/>
  <c r="H31" i="71"/>
  <c r="D31" i="71"/>
  <c r="L31" i="71" s="1"/>
  <c r="B31" i="71"/>
  <c r="Z30" i="71"/>
  <c r="T30" i="71"/>
  <c r="P30" i="71"/>
  <c r="X30" i="71" s="1"/>
  <c r="H30" i="71"/>
  <c r="D30" i="71"/>
  <c r="L30" i="71" s="1"/>
  <c r="B30" i="71"/>
  <c r="T29" i="71"/>
  <c r="Z29" i="71" s="1"/>
  <c r="P29" i="71"/>
  <c r="X29" i="71" s="1"/>
  <c r="H29" i="71"/>
  <c r="N29" i="71" s="1"/>
  <c r="D29" i="71"/>
  <c r="B29" i="71"/>
  <c r="T28" i="71"/>
  <c r="P28" i="71"/>
  <c r="L28" i="71"/>
  <c r="H28" i="71"/>
  <c r="D28" i="71"/>
  <c r="B28" i="71"/>
  <c r="X27" i="71"/>
  <c r="Z27" i="71" s="1"/>
  <c r="T27" i="71"/>
  <c r="P27" i="71"/>
  <c r="L27" i="71"/>
  <c r="N27" i="71" s="1"/>
  <c r="H27" i="71"/>
  <c r="D27" i="71"/>
  <c r="B27" i="71"/>
  <c r="T26" i="71"/>
  <c r="P26" i="71"/>
  <c r="X26" i="71" s="1"/>
  <c r="Z26" i="71" s="1"/>
  <c r="H26" i="71"/>
  <c r="D26" i="71"/>
  <c r="L26" i="71" s="1"/>
  <c r="N26" i="71" s="1"/>
  <c r="B26" i="71"/>
  <c r="T25" i="71"/>
  <c r="Z25" i="71" s="1"/>
  <c r="P25" i="71"/>
  <c r="X25" i="71" s="1"/>
  <c r="H25" i="71"/>
  <c r="N25" i="71" s="1"/>
  <c r="D25" i="71"/>
  <c r="L25" i="71" s="1"/>
  <c r="B25" i="71"/>
  <c r="T24" i="71"/>
  <c r="P24" i="71"/>
  <c r="H24" i="71"/>
  <c r="D24" i="71"/>
  <c r="B24" i="71"/>
  <c r="X23" i="71"/>
  <c r="Z23" i="71" s="1"/>
  <c r="T23" i="71"/>
  <c r="P23" i="71"/>
  <c r="L23" i="71"/>
  <c r="N23" i="71" s="1"/>
  <c r="H23" i="71"/>
  <c r="D23" i="71"/>
  <c r="B23" i="71"/>
  <c r="T22" i="71"/>
  <c r="P22" i="71"/>
  <c r="X22" i="71" s="1"/>
  <c r="Z22" i="71" s="1"/>
  <c r="H22" i="71"/>
  <c r="D22" i="71"/>
  <c r="L22" i="71" s="1"/>
  <c r="N22" i="71" s="1"/>
  <c r="B22" i="71"/>
  <c r="T21" i="71"/>
  <c r="Z21" i="71" s="1"/>
  <c r="P21" i="71"/>
  <c r="X21" i="71" s="1"/>
  <c r="H21" i="71"/>
  <c r="D21" i="71"/>
  <c r="L21" i="71" s="1"/>
  <c r="B21" i="71"/>
  <c r="T20" i="71"/>
  <c r="P20" i="71"/>
  <c r="H20" i="71"/>
  <c r="H12" i="71" s="1"/>
  <c r="D20" i="71"/>
  <c r="B20" i="71"/>
  <c r="Z19" i="71"/>
  <c r="X19" i="71"/>
  <c r="T19" i="71"/>
  <c r="P19" i="71"/>
  <c r="N19" i="71"/>
  <c r="L19" i="71"/>
  <c r="H19" i="71"/>
  <c r="D19" i="71"/>
  <c r="B19" i="71"/>
  <c r="T18" i="71"/>
  <c r="P18" i="71"/>
  <c r="X18" i="71" s="1"/>
  <c r="Z18" i="71" s="1"/>
  <c r="H18" i="71"/>
  <c r="D18" i="71"/>
  <c r="L18" i="71" s="1"/>
  <c r="N18" i="71" s="1"/>
  <c r="B18" i="71"/>
  <c r="T17" i="71"/>
  <c r="P17" i="71"/>
  <c r="X17" i="71" s="1"/>
  <c r="H17" i="71"/>
  <c r="D17" i="71"/>
  <c r="L17" i="71" s="1"/>
  <c r="B17" i="71"/>
  <c r="T16" i="71"/>
  <c r="T12" i="71" s="1"/>
  <c r="V46" i="71" s="1"/>
  <c r="P16" i="71"/>
  <c r="H16" i="71"/>
  <c r="D16" i="71"/>
  <c r="B16" i="71"/>
  <c r="Z15" i="71"/>
  <c r="X15" i="71"/>
  <c r="T15" i="71"/>
  <c r="P15" i="71"/>
  <c r="L15" i="71"/>
  <c r="N15" i="71" s="1"/>
  <c r="H15" i="71"/>
  <c r="D15" i="71"/>
  <c r="B15" i="71"/>
  <c r="Z14" i="71"/>
  <c r="T14" i="71"/>
  <c r="P14" i="71"/>
  <c r="X14" i="71" s="1"/>
  <c r="N14" i="71"/>
  <c r="H14" i="71"/>
  <c r="D14" i="71"/>
  <c r="L14" i="71" s="1"/>
  <c r="B14" i="71"/>
  <c r="T13" i="71"/>
  <c r="P13" i="71"/>
  <c r="H13" i="71"/>
  <c r="D13" i="71"/>
  <c r="B13" i="71"/>
  <c r="D6" i="71"/>
  <c r="D4" i="71"/>
  <c r="Z80" i="70"/>
  <c r="X80" i="70"/>
  <c r="N80" i="70"/>
  <c r="L80" i="70"/>
  <c r="T76" i="70"/>
  <c r="P76" i="70"/>
  <c r="X76" i="70" s="1"/>
  <c r="Z76" i="70" s="1"/>
  <c r="L76" i="70"/>
  <c r="H76" i="70"/>
  <c r="D76" i="70"/>
  <c r="B76" i="70"/>
  <c r="T75" i="70"/>
  <c r="P75" i="70"/>
  <c r="X75" i="70" s="1"/>
  <c r="L75" i="70"/>
  <c r="H75" i="70"/>
  <c r="D75" i="70"/>
  <c r="Z73" i="70"/>
  <c r="X73" i="70"/>
  <c r="N73" i="70"/>
  <c r="L73" i="70"/>
  <c r="B73" i="70"/>
  <c r="T72" i="70"/>
  <c r="P72" i="70"/>
  <c r="X72" i="70" s="1"/>
  <c r="N72" i="70"/>
  <c r="L72" i="70"/>
  <c r="H72" i="70"/>
  <c r="D72" i="70"/>
  <c r="B72" i="70"/>
  <c r="X71" i="70"/>
  <c r="Z71" i="70" s="1"/>
  <c r="L71" i="70"/>
  <c r="N71" i="70" s="1"/>
  <c r="B71" i="70"/>
  <c r="Z70" i="70"/>
  <c r="X70" i="70"/>
  <c r="T70" i="70"/>
  <c r="P70" i="70"/>
  <c r="L70" i="70"/>
  <c r="H70" i="70"/>
  <c r="N70" i="70" s="1"/>
  <c r="D70" i="70"/>
  <c r="B70" i="70"/>
  <c r="X69" i="70"/>
  <c r="Z69" i="70" s="1"/>
  <c r="N69" i="70"/>
  <c r="L69" i="70"/>
  <c r="F69" i="70"/>
  <c r="B69" i="70"/>
  <c r="X68" i="70"/>
  <c r="Z68" i="70" s="1"/>
  <c r="N68" i="70"/>
  <c r="L68" i="70"/>
  <c r="B68" i="70"/>
  <c r="Z67" i="70"/>
  <c r="X67" i="70"/>
  <c r="L67" i="70"/>
  <c r="N67" i="70" s="1"/>
  <c r="B67" i="70"/>
  <c r="Z66" i="70"/>
  <c r="X66" i="70"/>
  <c r="N66" i="70"/>
  <c r="L66" i="70"/>
  <c r="F66" i="70"/>
  <c r="B66" i="70"/>
  <c r="Z65" i="70"/>
  <c r="X65" i="70"/>
  <c r="N65" i="70"/>
  <c r="L65" i="70"/>
  <c r="F65" i="70"/>
  <c r="B65" i="70"/>
  <c r="T64" i="70"/>
  <c r="Z64" i="70" s="1"/>
  <c r="P64" i="70"/>
  <c r="X64" i="70" s="1"/>
  <c r="H64" i="70"/>
  <c r="D64" i="70"/>
  <c r="L64" i="70" s="1"/>
  <c r="N64" i="70" s="1"/>
  <c r="B64" i="70"/>
  <c r="X63" i="70"/>
  <c r="Z63" i="70" s="1"/>
  <c r="L63" i="70"/>
  <c r="N63" i="70" s="1"/>
  <c r="B63" i="70"/>
  <c r="Z62" i="70"/>
  <c r="T62" i="70"/>
  <c r="P62" i="70"/>
  <c r="X62" i="70" s="1"/>
  <c r="L62" i="70"/>
  <c r="H62" i="70"/>
  <c r="N62" i="70" s="1"/>
  <c r="D62" i="70"/>
  <c r="B62" i="70"/>
  <c r="Z61" i="70"/>
  <c r="X61" i="70"/>
  <c r="N61" i="70"/>
  <c r="L61" i="70"/>
  <c r="B61" i="70"/>
  <c r="X60" i="70"/>
  <c r="Z60" i="70" s="1"/>
  <c r="L60" i="70"/>
  <c r="N60" i="70" s="1"/>
  <c r="B60" i="70"/>
  <c r="X59" i="70"/>
  <c r="Z59" i="70" s="1"/>
  <c r="N59" i="70"/>
  <c r="L59" i="70"/>
  <c r="B59" i="70"/>
  <c r="Z58" i="70"/>
  <c r="T58" i="70"/>
  <c r="P58" i="70"/>
  <c r="X58" i="70" s="1"/>
  <c r="L58" i="70"/>
  <c r="N58" i="70" s="1"/>
  <c r="H58" i="70"/>
  <c r="D58" i="70"/>
  <c r="B58" i="70"/>
  <c r="Z57" i="70"/>
  <c r="X57" i="70"/>
  <c r="N57" i="70"/>
  <c r="L57" i="70"/>
  <c r="F57" i="70"/>
  <c r="B57" i="70"/>
  <c r="X56" i="70"/>
  <c r="T56" i="70"/>
  <c r="Z56" i="70" s="1"/>
  <c r="P56" i="70"/>
  <c r="H56" i="70"/>
  <c r="L56" i="70" s="1"/>
  <c r="F56" i="70"/>
  <c r="D56" i="70"/>
  <c r="B56" i="70"/>
  <c r="X55" i="70"/>
  <c r="Z55" i="70" s="1"/>
  <c r="L55" i="70"/>
  <c r="N55" i="70" s="1"/>
  <c r="B55" i="70"/>
  <c r="Z54" i="70"/>
  <c r="X54" i="70"/>
  <c r="N54" i="70"/>
  <c r="L54" i="70"/>
  <c r="B54" i="70"/>
  <c r="T53" i="70"/>
  <c r="P53" i="70"/>
  <c r="L53" i="70"/>
  <c r="N53" i="70" s="1"/>
  <c r="H53" i="70"/>
  <c r="D53" i="70"/>
  <c r="B53" i="70"/>
  <c r="X52" i="70"/>
  <c r="Z52" i="70" s="1"/>
  <c r="L52" i="70"/>
  <c r="N52" i="70" s="1"/>
  <c r="B52" i="70"/>
  <c r="T51" i="70"/>
  <c r="P51" i="70"/>
  <c r="X51" i="70" s="1"/>
  <c r="Z51" i="70" s="1"/>
  <c r="H51" i="70"/>
  <c r="D51" i="70"/>
  <c r="L51" i="70" s="1"/>
  <c r="B51" i="70"/>
  <c r="Z50" i="70"/>
  <c r="X50" i="70"/>
  <c r="N50" i="70"/>
  <c r="L50" i="70"/>
  <c r="B50" i="70"/>
  <c r="T49" i="70"/>
  <c r="Z49" i="70" s="1"/>
  <c r="P49" i="70"/>
  <c r="X49" i="70" s="1"/>
  <c r="N49" i="70"/>
  <c r="H49" i="70"/>
  <c r="D49" i="70"/>
  <c r="L49" i="70" s="1"/>
  <c r="B49" i="70"/>
  <c r="X48" i="70"/>
  <c r="Z48" i="70" s="1"/>
  <c r="L48" i="70"/>
  <c r="N48" i="70" s="1"/>
  <c r="B48" i="70"/>
  <c r="T47" i="70"/>
  <c r="P47" i="70"/>
  <c r="X47" i="70" s="1"/>
  <c r="Z47" i="70" s="1"/>
  <c r="H47" i="70"/>
  <c r="D47" i="70"/>
  <c r="B47" i="70"/>
  <c r="Z46" i="70"/>
  <c r="X46" i="70"/>
  <c r="N46" i="70"/>
  <c r="L46" i="70"/>
  <c r="B46" i="70"/>
  <c r="T45" i="70"/>
  <c r="P45" i="70"/>
  <c r="H45" i="70"/>
  <c r="N45" i="70" s="1"/>
  <c r="D45" i="70"/>
  <c r="L45" i="70" s="1"/>
  <c r="B45" i="70"/>
  <c r="X44" i="70"/>
  <c r="Z44" i="70" s="1"/>
  <c r="L44" i="70"/>
  <c r="N44" i="70" s="1"/>
  <c r="B44" i="70"/>
  <c r="X43" i="70"/>
  <c r="Z43" i="70" s="1"/>
  <c r="N43" i="70"/>
  <c r="L43" i="70"/>
  <c r="B43" i="70"/>
  <c r="Z42" i="70"/>
  <c r="X42" i="70"/>
  <c r="N42" i="70"/>
  <c r="L42" i="70"/>
  <c r="B42" i="70"/>
  <c r="T41" i="70"/>
  <c r="P41" i="70"/>
  <c r="L41" i="70"/>
  <c r="N41" i="70" s="1"/>
  <c r="H41" i="70"/>
  <c r="D41" i="70"/>
  <c r="B41" i="70"/>
  <c r="X40" i="70"/>
  <c r="Z40" i="70" s="1"/>
  <c r="L40" i="70"/>
  <c r="N40" i="70" s="1"/>
  <c r="B40" i="70"/>
  <c r="X39" i="70"/>
  <c r="Z39" i="70" s="1"/>
  <c r="L39" i="70"/>
  <c r="N39" i="70" s="1"/>
  <c r="B39" i="70"/>
  <c r="Z38" i="70"/>
  <c r="X38" i="70"/>
  <c r="N38" i="70"/>
  <c r="L38" i="70"/>
  <c r="B38" i="70"/>
  <c r="X37" i="70"/>
  <c r="Z37" i="70" s="1"/>
  <c r="L37" i="70"/>
  <c r="N37" i="70" s="1"/>
  <c r="B37" i="70"/>
  <c r="X36" i="70"/>
  <c r="Z36" i="70" s="1"/>
  <c r="L36" i="70"/>
  <c r="N36" i="70" s="1"/>
  <c r="B36" i="70"/>
  <c r="X35" i="70"/>
  <c r="Z35" i="70" s="1"/>
  <c r="L35" i="70"/>
  <c r="N35" i="70" s="1"/>
  <c r="B35" i="70"/>
  <c r="Z34" i="70"/>
  <c r="X34" i="70"/>
  <c r="N34" i="70"/>
  <c r="L34" i="70"/>
  <c r="B34" i="70"/>
  <c r="X33" i="70"/>
  <c r="Z33" i="70" s="1"/>
  <c r="L33" i="70"/>
  <c r="N33" i="70" s="1"/>
  <c r="B33" i="70"/>
  <c r="X32" i="70"/>
  <c r="Z32" i="70" s="1"/>
  <c r="T32" i="70"/>
  <c r="P32" i="70"/>
  <c r="N32" i="70"/>
  <c r="H32" i="70"/>
  <c r="L32" i="70" s="1"/>
  <c r="D32" i="70"/>
  <c r="B32" i="70"/>
  <c r="Z31" i="70"/>
  <c r="X31" i="70"/>
  <c r="T31" i="70"/>
  <c r="P31" i="70"/>
  <c r="H31" i="70"/>
  <c r="D31" i="70"/>
  <c r="L31" i="70" s="1"/>
  <c r="Z27" i="70"/>
  <c r="X27" i="70"/>
  <c r="N27" i="70"/>
  <c r="L27" i="70"/>
  <c r="B27" i="70"/>
  <c r="Z26" i="70"/>
  <c r="T26" i="70"/>
  <c r="P26" i="70"/>
  <c r="X26" i="70" s="1"/>
  <c r="N26" i="70"/>
  <c r="L26" i="70"/>
  <c r="H26" i="70"/>
  <c r="D26" i="70"/>
  <c r="T24" i="70"/>
  <c r="P24" i="70"/>
  <c r="X24" i="70" s="1"/>
  <c r="Z24" i="70" s="1"/>
  <c r="N24" i="70"/>
  <c r="H24" i="70"/>
  <c r="D24" i="70"/>
  <c r="L24" i="70" s="1"/>
  <c r="B24" i="70"/>
  <c r="T23" i="70"/>
  <c r="P23" i="70"/>
  <c r="H23" i="70"/>
  <c r="D23" i="70"/>
  <c r="L23" i="70" s="1"/>
  <c r="B23" i="70"/>
  <c r="X22" i="70"/>
  <c r="T22" i="70"/>
  <c r="Z22" i="70" s="1"/>
  <c r="P22" i="70"/>
  <c r="L22" i="70"/>
  <c r="H22" i="70"/>
  <c r="N22" i="70" s="1"/>
  <c r="D22" i="70"/>
  <c r="B22" i="70"/>
  <c r="X21" i="70"/>
  <c r="Z21" i="70" s="1"/>
  <c r="T21" i="70"/>
  <c r="P21" i="70"/>
  <c r="N21" i="70"/>
  <c r="L21" i="70"/>
  <c r="H21" i="70"/>
  <c r="D21" i="70"/>
  <c r="B21" i="70"/>
  <c r="Z20" i="70"/>
  <c r="T20" i="70"/>
  <c r="P20" i="70"/>
  <c r="X20" i="70" s="1"/>
  <c r="N20" i="70"/>
  <c r="H20" i="70"/>
  <c r="D20" i="70"/>
  <c r="L20" i="70" s="1"/>
  <c r="B20" i="70"/>
  <c r="T19" i="70"/>
  <c r="P19" i="70"/>
  <c r="X19" i="70" s="1"/>
  <c r="H19" i="70"/>
  <c r="N19" i="70" s="1"/>
  <c r="D19" i="70"/>
  <c r="B19" i="70"/>
  <c r="T18" i="70"/>
  <c r="P18" i="70"/>
  <c r="H18" i="70"/>
  <c r="D18" i="70"/>
  <c r="B18" i="70"/>
  <c r="Z17" i="70"/>
  <c r="X17" i="70"/>
  <c r="T17" i="70"/>
  <c r="P17" i="70"/>
  <c r="N17" i="70"/>
  <c r="L17" i="70"/>
  <c r="H17" i="70"/>
  <c r="D17" i="70"/>
  <c r="B17" i="70"/>
  <c r="T16" i="70"/>
  <c r="P16" i="70"/>
  <c r="X16" i="70" s="1"/>
  <c r="Z16" i="70" s="1"/>
  <c r="N16" i="70"/>
  <c r="H16" i="70"/>
  <c r="D16" i="70"/>
  <c r="L16" i="70" s="1"/>
  <c r="B16" i="70"/>
  <c r="T15" i="70"/>
  <c r="P15" i="70"/>
  <c r="H15" i="70"/>
  <c r="D15" i="70"/>
  <c r="L15" i="70" s="1"/>
  <c r="B15" i="70"/>
  <c r="X14" i="70"/>
  <c r="T14" i="70"/>
  <c r="P14" i="70"/>
  <c r="L14" i="70"/>
  <c r="H14" i="70"/>
  <c r="D14" i="70"/>
  <c r="B14" i="70"/>
  <c r="X13" i="70"/>
  <c r="Z13" i="70" s="1"/>
  <c r="T13" i="70"/>
  <c r="P13" i="70"/>
  <c r="N13" i="70"/>
  <c r="L13" i="70"/>
  <c r="H13" i="70"/>
  <c r="D13" i="70"/>
  <c r="B13" i="70"/>
  <c r="D12" i="70"/>
  <c r="F61" i="70" s="1"/>
  <c r="D6" i="70"/>
  <c r="D4" i="70"/>
  <c r="X144" i="69"/>
  <c r="Z144" i="69" s="1"/>
  <c r="L144" i="69"/>
  <c r="N144" i="69" s="1"/>
  <c r="T140" i="69"/>
  <c r="P140" i="69"/>
  <c r="X140" i="69" s="1"/>
  <c r="N140" i="69"/>
  <c r="H140" i="69"/>
  <c r="D140" i="69"/>
  <c r="L140" i="69" s="1"/>
  <c r="B140" i="69"/>
  <c r="X139" i="69"/>
  <c r="Z139" i="69" s="1"/>
  <c r="T139" i="69"/>
  <c r="P139" i="69"/>
  <c r="H139" i="69"/>
  <c r="D139" i="69"/>
  <c r="B139" i="69"/>
  <c r="T138" i="69"/>
  <c r="D138" i="69"/>
  <c r="Z136" i="69"/>
  <c r="X136" i="69"/>
  <c r="N136" i="69"/>
  <c r="L136" i="69"/>
  <c r="B136" i="69"/>
  <c r="T135" i="69"/>
  <c r="P135" i="69"/>
  <c r="X135" i="69" s="1"/>
  <c r="L135" i="69"/>
  <c r="N135" i="69" s="1"/>
  <c r="H135" i="69"/>
  <c r="D135" i="69"/>
  <c r="B135" i="69"/>
  <c r="X134" i="69"/>
  <c r="Z134" i="69" s="1"/>
  <c r="L134" i="69"/>
  <c r="N134" i="69" s="1"/>
  <c r="B134" i="69"/>
  <c r="T133" i="69"/>
  <c r="P133" i="69"/>
  <c r="X133" i="69" s="1"/>
  <c r="Z133" i="69" s="1"/>
  <c r="H133" i="69"/>
  <c r="D133" i="69"/>
  <c r="B133" i="69"/>
  <c r="Z132" i="69"/>
  <c r="X132" i="69"/>
  <c r="N132" i="69"/>
  <c r="L132" i="69"/>
  <c r="B132" i="69"/>
  <c r="Z131" i="69"/>
  <c r="X131" i="69"/>
  <c r="N131" i="69"/>
  <c r="L131" i="69"/>
  <c r="B131" i="69"/>
  <c r="X130" i="69"/>
  <c r="Z130" i="69" s="1"/>
  <c r="L130" i="69"/>
  <c r="N130" i="69" s="1"/>
  <c r="B130" i="69"/>
  <c r="X129" i="69"/>
  <c r="Z129" i="69" s="1"/>
  <c r="N129" i="69"/>
  <c r="L129" i="69"/>
  <c r="B129" i="69"/>
  <c r="Z128" i="69"/>
  <c r="X128" i="69"/>
  <c r="N128" i="69"/>
  <c r="L128" i="69"/>
  <c r="B128" i="69"/>
  <c r="T127" i="69"/>
  <c r="P127" i="69"/>
  <c r="X127" i="69" s="1"/>
  <c r="N127" i="69"/>
  <c r="L127" i="69"/>
  <c r="H127" i="69"/>
  <c r="D127" i="69"/>
  <c r="B127" i="69"/>
  <c r="X126" i="69"/>
  <c r="Z126" i="69" s="1"/>
  <c r="N126" i="69"/>
  <c r="L126" i="69"/>
  <c r="B126" i="69"/>
  <c r="X125" i="69"/>
  <c r="Z125" i="69" s="1"/>
  <c r="L125" i="69"/>
  <c r="N125" i="69" s="1"/>
  <c r="B125" i="69"/>
  <c r="Z124" i="69"/>
  <c r="T124" i="69"/>
  <c r="P124" i="69"/>
  <c r="X124" i="69" s="1"/>
  <c r="L124" i="69"/>
  <c r="N124" i="69" s="1"/>
  <c r="H124" i="69"/>
  <c r="D124" i="69"/>
  <c r="B124" i="69"/>
  <c r="Z123" i="69"/>
  <c r="X123" i="69"/>
  <c r="N123" i="69"/>
  <c r="L123" i="69"/>
  <c r="B123" i="69"/>
  <c r="X122" i="69"/>
  <c r="Z122" i="69" s="1"/>
  <c r="L122" i="69"/>
  <c r="N122" i="69" s="1"/>
  <c r="B122" i="69"/>
  <c r="X121" i="69"/>
  <c r="Z121" i="69" s="1"/>
  <c r="T121" i="69"/>
  <c r="P121" i="69"/>
  <c r="L121" i="69"/>
  <c r="H121" i="69"/>
  <c r="N121" i="69" s="1"/>
  <c r="D121" i="69"/>
  <c r="B121" i="69"/>
  <c r="Z120" i="69"/>
  <c r="X120" i="69"/>
  <c r="N120" i="69"/>
  <c r="L120" i="69"/>
  <c r="B120" i="69"/>
  <c r="Z119" i="69"/>
  <c r="X119" i="69"/>
  <c r="N119" i="69"/>
  <c r="L119" i="69"/>
  <c r="B119" i="69"/>
  <c r="Z118" i="69"/>
  <c r="X118" i="69"/>
  <c r="T118" i="69"/>
  <c r="P118" i="69"/>
  <c r="N118" i="69"/>
  <c r="H118" i="69"/>
  <c r="L118" i="69" s="1"/>
  <c r="D118" i="69"/>
  <c r="B118" i="69"/>
  <c r="Z117" i="69"/>
  <c r="X117" i="69"/>
  <c r="N117" i="69"/>
  <c r="L117" i="69"/>
  <c r="B117" i="69"/>
  <c r="Z116" i="69"/>
  <c r="T116" i="69"/>
  <c r="X116" i="69" s="1"/>
  <c r="P116" i="69"/>
  <c r="N116" i="69"/>
  <c r="H116" i="69"/>
  <c r="D116" i="69"/>
  <c r="L116" i="69" s="1"/>
  <c r="B116" i="69"/>
  <c r="Z115" i="69"/>
  <c r="X115" i="69"/>
  <c r="N115" i="69"/>
  <c r="L115" i="69"/>
  <c r="B115" i="69"/>
  <c r="X114" i="69"/>
  <c r="Z114" i="69" s="1"/>
  <c r="L114" i="69"/>
  <c r="N114" i="69" s="1"/>
  <c r="B114" i="69"/>
  <c r="X113" i="69"/>
  <c r="Z113" i="69" s="1"/>
  <c r="T113" i="69"/>
  <c r="P113" i="69"/>
  <c r="H113" i="69"/>
  <c r="D113" i="69"/>
  <c r="B113" i="69"/>
  <c r="X112" i="69"/>
  <c r="Z112" i="69" s="1"/>
  <c r="N112" i="69"/>
  <c r="L112" i="69"/>
  <c r="B112" i="69"/>
  <c r="X111" i="69"/>
  <c r="Z111" i="69" s="1"/>
  <c r="N111" i="69"/>
  <c r="L111" i="69"/>
  <c r="B111" i="69"/>
  <c r="T110" i="69"/>
  <c r="P110" i="69"/>
  <c r="X110" i="69" s="1"/>
  <c r="Z110" i="69" s="1"/>
  <c r="H110" i="69"/>
  <c r="N110" i="69" s="1"/>
  <c r="D110" i="69"/>
  <c r="L110" i="69" s="1"/>
  <c r="B110" i="69"/>
  <c r="Z109" i="69"/>
  <c r="X109" i="69"/>
  <c r="N109" i="69"/>
  <c r="L109" i="69"/>
  <c r="B109" i="69"/>
  <c r="T108" i="69"/>
  <c r="Z108" i="69" s="1"/>
  <c r="P108" i="69"/>
  <c r="X108" i="69" s="1"/>
  <c r="L108" i="69"/>
  <c r="H108" i="69"/>
  <c r="N108" i="69" s="1"/>
  <c r="D108" i="69"/>
  <c r="B108" i="69"/>
  <c r="Z107" i="69"/>
  <c r="X107" i="69"/>
  <c r="N107" i="69"/>
  <c r="L107" i="69"/>
  <c r="B107" i="69"/>
  <c r="X106" i="69"/>
  <c r="T106" i="69"/>
  <c r="Z106" i="69" s="1"/>
  <c r="P106" i="69"/>
  <c r="N106" i="69"/>
  <c r="H106" i="69"/>
  <c r="L106" i="69" s="1"/>
  <c r="D106" i="69"/>
  <c r="B106" i="69"/>
  <c r="Z105" i="69"/>
  <c r="X105" i="69"/>
  <c r="N105" i="69"/>
  <c r="L105" i="69"/>
  <c r="B105" i="69"/>
  <c r="Z104" i="69"/>
  <c r="X104" i="69"/>
  <c r="N104" i="69"/>
  <c r="L104" i="69"/>
  <c r="B104" i="69"/>
  <c r="Z103" i="69"/>
  <c r="T103" i="69"/>
  <c r="P103" i="69"/>
  <c r="X103" i="69" s="1"/>
  <c r="N103" i="69"/>
  <c r="L103" i="69"/>
  <c r="H103" i="69"/>
  <c r="D103" i="69"/>
  <c r="B103" i="69"/>
  <c r="X102" i="69"/>
  <c r="Z102" i="69" s="1"/>
  <c r="L102" i="69"/>
  <c r="N102" i="69" s="1"/>
  <c r="B102" i="69"/>
  <c r="X101" i="69"/>
  <c r="Z101" i="69" s="1"/>
  <c r="T101" i="69"/>
  <c r="P101" i="69"/>
  <c r="H101" i="69"/>
  <c r="D101" i="69"/>
  <c r="B101" i="69"/>
  <c r="X100" i="69"/>
  <c r="Z100" i="69" s="1"/>
  <c r="N100" i="69"/>
  <c r="L100" i="69"/>
  <c r="B100" i="69"/>
  <c r="X99" i="69"/>
  <c r="Z99" i="69" s="1"/>
  <c r="N99" i="69"/>
  <c r="L99" i="69"/>
  <c r="B99" i="69"/>
  <c r="X98" i="69"/>
  <c r="Z98" i="69" s="1"/>
  <c r="L98" i="69"/>
  <c r="N98" i="69" s="1"/>
  <c r="B98" i="69"/>
  <c r="X97" i="69"/>
  <c r="Z97" i="69" s="1"/>
  <c r="N97" i="69"/>
  <c r="L97" i="69"/>
  <c r="B97" i="69"/>
  <c r="Z96" i="69"/>
  <c r="X96" i="69"/>
  <c r="L96" i="69"/>
  <c r="N96" i="69" s="1"/>
  <c r="B96" i="69"/>
  <c r="T95" i="69"/>
  <c r="P95" i="69"/>
  <c r="X95" i="69" s="1"/>
  <c r="Z95" i="69" s="1"/>
  <c r="L95" i="69"/>
  <c r="N95" i="69" s="1"/>
  <c r="H95" i="69"/>
  <c r="D95" i="69"/>
  <c r="B95" i="69"/>
  <c r="X94" i="69"/>
  <c r="Z94" i="69" s="1"/>
  <c r="L94" i="69"/>
  <c r="N94" i="69" s="1"/>
  <c r="B94" i="69"/>
  <c r="X93" i="69"/>
  <c r="Z93" i="69" s="1"/>
  <c r="N93" i="69"/>
  <c r="L93" i="69"/>
  <c r="B93" i="69"/>
  <c r="Z92" i="69"/>
  <c r="X92" i="69"/>
  <c r="L92" i="69"/>
  <c r="N92" i="69" s="1"/>
  <c r="B92" i="69"/>
  <c r="Z91" i="69"/>
  <c r="X91" i="69"/>
  <c r="L91" i="69"/>
  <c r="N91" i="69" s="1"/>
  <c r="B91" i="69"/>
  <c r="X90" i="69"/>
  <c r="Z90" i="69" s="1"/>
  <c r="L90" i="69"/>
  <c r="N90" i="69" s="1"/>
  <c r="B90" i="69"/>
  <c r="Z89" i="69"/>
  <c r="X89" i="69"/>
  <c r="L89" i="69"/>
  <c r="N89" i="69" s="1"/>
  <c r="B89" i="69"/>
  <c r="X88" i="69"/>
  <c r="Z88" i="69" s="1"/>
  <c r="N88" i="69"/>
  <c r="L88" i="69"/>
  <c r="B88" i="69"/>
  <c r="X87" i="69"/>
  <c r="Z87" i="69" s="1"/>
  <c r="N87" i="69"/>
  <c r="L87" i="69"/>
  <c r="B87" i="69"/>
  <c r="T86" i="69"/>
  <c r="P86" i="69"/>
  <c r="X86" i="69" s="1"/>
  <c r="Z86" i="69" s="1"/>
  <c r="H86" i="69"/>
  <c r="D86" i="69"/>
  <c r="B86" i="69"/>
  <c r="T85" i="69"/>
  <c r="P85" i="69"/>
  <c r="X85" i="69" s="1"/>
  <c r="Z85" i="69" s="1"/>
  <c r="H85" i="69"/>
  <c r="D85" i="69"/>
  <c r="L85" i="69" s="1"/>
  <c r="N85" i="69" s="1"/>
  <c r="Z81" i="69"/>
  <c r="X81" i="69"/>
  <c r="N81" i="69"/>
  <c r="L81" i="69"/>
  <c r="B81" i="69"/>
  <c r="Z80" i="69"/>
  <c r="X80" i="69"/>
  <c r="N80" i="69"/>
  <c r="L80" i="69"/>
  <c r="B80" i="69"/>
  <c r="X79" i="69"/>
  <c r="Z79" i="69" s="1"/>
  <c r="N79" i="69"/>
  <c r="L79" i="69"/>
  <c r="B79" i="69"/>
  <c r="X78" i="69"/>
  <c r="Z78" i="69" s="1"/>
  <c r="L78" i="69"/>
  <c r="N78" i="69" s="1"/>
  <c r="B78" i="69"/>
  <c r="X77" i="69"/>
  <c r="Z77" i="69" s="1"/>
  <c r="N77" i="69"/>
  <c r="L77" i="69"/>
  <c r="B77" i="69"/>
  <c r="Z76" i="69"/>
  <c r="X76" i="69"/>
  <c r="L76" i="69"/>
  <c r="N76" i="69" s="1"/>
  <c r="B76" i="69"/>
  <c r="Z75" i="69"/>
  <c r="X75" i="69"/>
  <c r="L75" i="69"/>
  <c r="N75" i="69" s="1"/>
  <c r="B75" i="69"/>
  <c r="X74" i="69"/>
  <c r="Z74" i="69" s="1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X70" i="69"/>
  <c r="Z70" i="69" s="1"/>
  <c r="L70" i="69"/>
  <c r="N70" i="69" s="1"/>
  <c r="B70" i="69"/>
  <c r="X69" i="69"/>
  <c r="Z69" i="69" s="1"/>
  <c r="N69" i="69"/>
  <c r="L69" i="69"/>
  <c r="B69" i="69"/>
  <c r="Z68" i="69"/>
  <c r="X68" i="69"/>
  <c r="L68" i="69"/>
  <c r="N68" i="69" s="1"/>
  <c r="B68" i="69"/>
  <c r="Z67" i="69"/>
  <c r="X67" i="69"/>
  <c r="L67" i="69"/>
  <c r="N67" i="69" s="1"/>
  <c r="B67" i="69"/>
  <c r="X66" i="69"/>
  <c r="Z66" i="69" s="1"/>
  <c r="L66" i="69"/>
  <c r="N66" i="69" s="1"/>
  <c r="B66" i="69"/>
  <c r="Z65" i="69"/>
  <c r="X65" i="69"/>
  <c r="L65" i="69"/>
  <c r="N65" i="69" s="1"/>
  <c r="B65" i="69"/>
  <c r="X64" i="69"/>
  <c r="Z64" i="69" s="1"/>
  <c r="N64" i="69"/>
  <c r="L64" i="69"/>
  <c r="B64" i="69"/>
  <c r="X63" i="69"/>
  <c r="Z63" i="69" s="1"/>
  <c r="N63" i="69"/>
  <c r="L63" i="69"/>
  <c r="B63" i="69"/>
  <c r="X62" i="69"/>
  <c r="Z62" i="69" s="1"/>
  <c r="L62" i="69"/>
  <c r="N62" i="69" s="1"/>
  <c r="B62" i="69"/>
  <c r="X61" i="69"/>
  <c r="Z61" i="69" s="1"/>
  <c r="N61" i="69"/>
  <c r="L61" i="69"/>
  <c r="B61" i="69"/>
  <c r="Z60" i="69"/>
  <c r="X60" i="69"/>
  <c r="N60" i="69"/>
  <c r="L60" i="69"/>
  <c r="B60" i="69"/>
  <c r="Z59" i="69"/>
  <c r="X59" i="69"/>
  <c r="N59" i="69"/>
  <c r="L59" i="69"/>
  <c r="B59" i="69"/>
  <c r="X58" i="69"/>
  <c r="Z58" i="69" s="1"/>
  <c r="N58" i="69"/>
  <c r="L58" i="69"/>
  <c r="B58" i="69"/>
  <c r="Z57" i="69"/>
  <c r="X57" i="69"/>
  <c r="N57" i="69"/>
  <c r="L57" i="69"/>
  <c r="B57" i="69"/>
  <c r="T56" i="69"/>
  <c r="P56" i="69"/>
  <c r="L56" i="69"/>
  <c r="H56" i="69"/>
  <c r="N56" i="69" s="1"/>
  <c r="D56" i="69"/>
  <c r="Z54" i="69"/>
  <c r="T54" i="69"/>
  <c r="P54" i="69"/>
  <c r="X54" i="69" s="1"/>
  <c r="H54" i="69"/>
  <c r="N54" i="69" s="1"/>
  <c r="D54" i="69"/>
  <c r="L54" i="69" s="1"/>
  <c r="B54" i="69"/>
  <c r="T53" i="69"/>
  <c r="P53" i="69"/>
  <c r="X53" i="69" s="1"/>
  <c r="H53" i="69"/>
  <c r="N53" i="69" s="1"/>
  <c r="D53" i="69"/>
  <c r="L53" i="69" s="1"/>
  <c r="B53" i="69"/>
  <c r="X52" i="69"/>
  <c r="T52" i="69"/>
  <c r="Z52" i="69" s="1"/>
  <c r="P52" i="69"/>
  <c r="H52" i="69"/>
  <c r="D52" i="69"/>
  <c r="B52" i="69"/>
  <c r="T51" i="69"/>
  <c r="P51" i="69"/>
  <c r="X51" i="69" s="1"/>
  <c r="Z51" i="69" s="1"/>
  <c r="L51" i="69"/>
  <c r="N51" i="69" s="1"/>
  <c r="H51" i="69"/>
  <c r="D51" i="69"/>
  <c r="B51" i="69"/>
  <c r="T50" i="69"/>
  <c r="Z50" i="69" s="1"/>
  <c r="P50" i="69"/>
  <c r="X50" i="69" s="1"/>
  <c r="N50" i="69"/>
  <c r="H50" i="69"/>
  <c r="D50" i="69"/>
  <c r="L50" i="69" s="1"/>
  <c r="B50" i="69"/>
  <c r="T49" i="69"/>
  <c r="Z49" i="69" s="1"/>
  <c r="P49" i="69"/>
  <c r="X49" i="69" s="1"/>
  <c r="H49" i="69"/>
  <c r="N49" i="69" s="1"/>
  <c r="D49" i="69"/>
  <c r="L49" i="69" s="1"/>
  <c r="B49" i="69"/>
  <c r="T48" i="69"/>
  <c r="P48" i="69"/>
  <c r="L48" i="69"/>
  <c r="H48" i="69"/>
  <c r="N48" i="69" s="1"/>
  <c r="D48" i="69"/>
  <c r="B48" i="69"/>
  <c r="X47" i="69"/>
  <c r="Z47" i="69" s="1"/>
  <c r="T47" i="69"/>
  <c r="P47" i="69"/>
  <c r="H47" i="69"/>
  <c r="D47" i="69"/>
  <c r="L47" i="69" s="1"/>
  <c r="N47" i="69" s="1"/>
  <c r="B47" i="69"/>
  <c r="T46" i="69"/>
  <c r="P46" i="69"/>
  <c r="X46" i="69" s="1"/>
  <c r="Z46" i="69" s="1"/>
  <c r="H46" i="69"/>
  <c r="D46" i="69"/>
  <c r="L46" i="69" s="1"/>
  <c r="B46" i="69"/>
  <c r="T45" i="69"/>
  <c r="P45" i="69"/>
  <c r="X45" i="69" s="1"/>
  <c r="H45" i="69"/>
  <c r="D45" i="69"/>
  <c r="L45" i="69" s="1"/>
  <c r="B45" i="69"/>
  <c r="X44" i="69"/>
  <c r="T44" i="69"/>
  <c r="Z44" i="69" s="1"/>
  <c r="P44" i="69"/>
  <c r="H44" i="69"/>
  <c r="D44" i="69"/>
  <c r="B44" i="69"/>
  <c r="T43" i="69"/>
  <c r="P43" i="69"/>
  <c r="X43" i="69" s="1"/>
  <c r="Z43" i="69" s="1"/>
  <c r="L43" i="69"/>
  <c r="N43" i="69" s="1"/>
  <c r="H43" i="69"/>
  <c r="D43" i="69"/>
  <c r="B43" i="69"/>
  <c r="T42" i="69"/>
  <c r="Z42" i="69" s="1"/>
  <c r="P42" i="69"/>
  <c r="X42" i="69" s="1"/>
  <c r="N42" i="69"/>
  <c r="H42" i="69"/>
  <c r="D42" i="69"/>
  <c r="L42" i="69" s="1"/>
  <c r="B42" i="69"/>
  <c r="T41" i="69"/>
  <c r="Z41" i="69" s="1"/>
  <c r="P41" i="69"/>
  <c r="X41" i="69" s="1"/>
  <c r="H41" i="69"/>
  <c r="N41" i="69" s="1"/>
  <c r="D41" i="69"/>
  <c r="L41" i="69" s="1"/>
  <c r="B41" i="69"/>
  <c r="T40" i="69"/>
  <c r="P40" i="69"/>
  <c r="L40" i="69"/>
  <c r="H40" i="69"/>
  <c r="N40" i="69" s="1"/>
  <c r="D40" i="69"/>
  <c r="B40" i="69"/>
  <c r="X39" i="69"/>
  <c r="Z39" i="69" s="1"/>
  <c r="T39" i="69"/>
  <c r="P39" i="69"/>
  <c r="H39" i="69"/>
  <c r="D39" i="69"/>
  <c r="L39" i="69" s="1"/>
  <c r="N39" i="69" s="1"/>
  <c r="B39" i="69"/>
  <c r="Z38" i="69"/>
  <c r="T38" i="69"/>
  <c r="P38" i="69"/>
  <c r="X38" i="69" s="1"/>
  <c r="H38" i="69"/>
  <c r="D38" i="69"/>
  <c r="L38" i="69" s="1"/>
  <c r="B38" i="69"/>
  <c r="T37" i="69"/>
  <c r="Z37" i="69" s="1"/>
  <c r="P37" i="69"/>
  <c r="X37" i="69" s="1"/>
  <c r="H37" i="69"/>
  <c r="D37" i="69"/>
  <c r="L37" i="69" s="1"/>
  <c r="B37" i="69"/>
  <c r="X36" i="69"/>
  <c r="T36" i="69"/>
  <c r="Z36" i="69" s="1"/>
  <c r="P36" i="69"/>
  <c r="H36" i="69"/>
  <c r="D36" i="69"/>
  <c r="B36" i="69"/>
  <c r="T35" i="69"/>
  <c r="P35" i="69"/>
  <c r="X35" i="69" s="1"/>
  <c r="Z35" i="69" s="1"/>
  <c r="L35" i="69"/>
  <c r="N35" i="69" s="1"/>
  <c r="H35" i="69"/>
  <c r="D35" i="69"/>
  <c r="B35" i="69"/>
  <c r="T34" i="69"/>
  <c r="Z34" i="69" s="1"/>
  <c r="P34" i="69"/>
  <c r="X34" i="69" s="1"/>
  <c r="N34" i="69"/>
  <c r="H34" i="69"/>
  <c r="D34" i="69"/>
  <c r="L34" i="69" s="1"/>
  <c r="B34" i="69"/>
  <c r="T33" i="69"/>
  <c r="P33" i="69"/>
  <c r="X33" i="69" s="1"/>
  <c r="H33" i="69"/>
  <c r="N33" i="69" s="1"/>
  <c r="D33" i="69"/>
  <c r="L33" i="69" s="1"/>
  <c r="B33" i="69"/>
  <c r="T32" i="69"/>
  <c r="P32" i="69"/>
  <c r="L32" i="69"/>
  <c r="H32" i="69"/>
  <c r="N32" i="69" s="1"/>
  <c r="D32" i="69"/>
  <c r="B32" i="69"/>
  <c r="X31" i="69"/>
  <c r="Z31" i="69" s="1"/>
  <c r="T31" i="69"/>
  <c r="P31" i="69"/>
  <c r="N31" i="69"/>
  <c r="H31" i="69"/>
  <c r="D31" i="69"/>
  <c r="L31" i="69" s="1"/>
  <c r="B31" i="69"/>
  <c r="T30" i="69"/>
  <c r="P30" i="69"/>
  <c r="X30" i="69" s="1"/>
  <c r="Z30" i="69" s="1"/>
  <c r="H30" i="69"/>
  <c r="N30" i="69" s="1"/>
  <c r="D30" i="69"/>
  <c r="L30" i="69" s="1"/>
  <c r="B30" i="69"/>
  <c r="T29" i="69"/>
  <c r="P29" i="69"/>
  <c r="X29" i="69" s="1"/>
  <c r="H29" i="69"/>
  <c r="N29" i="69" s="1"/>
  <c r="D29" i="69"/>
  <c r="L29" i="69" s="1"/>
  <c r="B29" i="69"/>
  <c r="X28" i="69"/>
  <c r="T28" i="69"/>
  <c r="Z28" i="69" s="1"/>
  <c r="P28" i="69"/>
  <c r="H28" i="69"/>
  <c r="D28" i="69"/>
  <c r="B28" i="69"/>
  <c r="T27" i="69"/>
  <c r="P27" i="69"/>
  <c r="X27" i="69" s="1"/>
  <c r="Z27" i="69" s="1"/>
  <c r="L27" i="69"/>
  <c r="N27" i="69" s="1"/>
  <c r="H27" i="69"/>
  <c r="D27" i="69"/>
  <c r="B27" i="69"/>
  <c r="T26" i="69"/>
  <c r="Z26" i="69" s="1"/>
  <c r="P26" i="69"/>
  <c r="X26" i="69" s="1"/>
  <c r="N26" i="69"/>
  <c r="H26" i="69"/>
  <c r="D26" i="69"/>
  <c r="L26" i="69" s="1"/>
  <c r="B26" i="69"/>
  <c r="T25" i="69"/>
  <c r="Z25" i="69" s="1"/>
  <c r="P25" i="69"/>
  <c r="X25" i="69" s="1"/>
  <c r="H25" i="69"/>
  <c r="N25" i="69" s="1"/>
  <c r="D25" i="69"/>
  <c r="L25" i="69" s="1"/>
  <c r="B25" i="69"/>
  <c r="T24" i="69"/>
  <c r="P24" i="69"/>
  <c r="L24" i="69"/>
  <c r="H24" i="69"/>
  <c r="N24" i="69" s="1"/>
  <c r="D24" i="69"/>
  <c r="B24" i="69"/>
  <c r="X23" i="69"/>
  <c r="Z23" i="69" s="1"/>
  <c r="T23" i="69"/>
  <c r="P23" i="69"/>
  <c r="H23" i="69"/>
  <c r="D23" i="69"/>
  <c r="L23" i="69" s="1"/>
  <c r="N23" i="69" s="1"/>
  <c r="B23" i="69"/>
  <c r="T22" i="69"/>
  <c r="P22" i="69"/>
  <c r="X22" i="69" s="1"/>
  <c r="Z22" i="69" s="1"/>
  <c r="H22" i="69"/>
  <c r="D22" i="69"/>
  <c r="L22" i="69" s="1"/>
  <c r="B22" i="69"/>
  <c r="T21" i="69"/>
  <c r="P21" i="69"/>
  <c r="X21" i="69" s="1"/>
  <c r="H21" i="69"/>
  <c r="D21" i="69"/>
  <c r="L21" i="69" s="1"/>
  <c r="B21" i="69"/>
  <c r="X20" i="69"/>
  <c r="T20" i="69"/>
  <c r="Z20" i="69" s="1"/>
  <c r="P20" i="69"/>
  <c r="H20" i="69"/>
  <c r="D20" i="69"/>
  <c r="B20" i="69"/>
  <c r="T19" i="69"/>
  <c r="P19" i="69"/>
  <c r="X19" i="69" s="1"/>
  <c r="Z19" i="69" s="1"/>
  <c r="L19" i="69"/>
  <c r="N19" i="69" s="1"/>
  <c r="H19" i="69"/>
  <c r="D19" i="69"/>
  <c r="B19" i="69"/>
  <c r="T18" i="69"/>
  <c r="Z18" i="69" s="1"/>
  <c r="P18" i="69"/>
  <c r="X18" i="69" s="1"/>
  <c r="N18" i="69"/>
  <c r="H18" i="69"/>
  <c r="D18" i="69"/>
  <c r="L18" i="69" s="1"/>
  <c r="B18" i="69"/>
  <c r="T17" i="69"/>
  <c r="P17" i="69"/>
  <c r="X17" i="69" s="1"/>
  <c r="H17" i="69"/>
  <c r="N17" i="69" s="1"/>
  <c r="D17" i="69"/>
  <c r="L17" i="69" s="1"/>
  <c r="B17" i="69"/>
  <c r="T16" i="69"/>
  <c r="P16" i="69"/>
  <c r="L16" i="69"/>
  <c r="H16" i="69"/>
  <c r="N16" i="69" s="1"/>
  <c r="D16" i="69"/>
  <c r="B16" i="69"/>
  <c r="X15" i="69"/>
  <c r="Z15" i="69" s="1"/>
  <c r="T15" i="69"/>
  <c r="P15" i="69"/>
  <c r="N15" i="69"/>
  <c r="H15" i="69"/>
  <c r="D15" i="69"/>
  <c r="L15" i="69" s="1"/>
  <c r="B15" i="69"/>
  <c r="T14" i="69"/>
  <c r="P14" i="69"/>
  <c r="H14" i="69"/>
  <c r="N14" i="69" s="1"/>
  <c r="D14" i="69"/>
  <c r="L14" i="69" s="1"/>
  <c r="B14" i="69"/>
  <c r="T13" i="69"/>
  <c r="P13" i="69"/>
  <c r="X13" i="69" s="1"/>
  <c r="H13" i="69"/>
  <c r="D13" i="69"/>
  <c r="B13" i="69"/>
  <c r="D6" i="69"/>
  <c r="D4" i="69"/>
  <c r="Z52" i="67"/>
  <c r="X52" i="67"/>
  <c r="N52" i="67"/>
  <c r="L52" i="67"/>
  <c r="Z48" i="67"/>
  <c r="T48" i="67"/>
  <c r="P48" i="67"/>
  <c r="X48" i="67" s="1"/>
  <c r="H48" i="67"/>
  <c r="N48" i="67" s="1"/>
  <c r="D48" i="67"/>
  <c r="L48" i="67" s="1"/>
  <c r="X46" i="67"/>
  <c r="Z46" i="67" s="1"/>
  <c r="L46" i="67"/>
  <c r="N46" i="67" s="1"/>
  <c r="B46" i="67"/>
  <c r="T45" i="67"/>
  <c r="P45" i="67"/>
  <c r="X45" i="67" s="1"/>
  <c r="Z45" i="67" s="1"/>
  <c r="H45" i="67"/>
  <c r="D45" i="67"/>
  <c r="L45" i="67" s="1"/>
  <c r="N45" i="67" s="1"/>
  <c r="B45" i="67"/>
  <c r="Z44" i="67"/>
  <c r="X44" i="67"/>
  <c r="N44" i="67"/>
  <c r="L44" i="67"/>
  <c r="B44" i="67"/>
  <c r="Z43" i="67"/>
  <c r="T43" i="67"/>
  <c r="P43" i="67"/>
  <c r="X43" i="67" s="1"/>
  <c r="N43" i="67"/>
  <c r="L43" i="67"/>
  <c r="H43" i="67"/>
  <c r="D43" i="67"/>
  <c r="B43" i="67"/>
  <c r="X42" i="67"/>
  <c r="Z42" i="67" s="1"/>
  <c r="N42" i="67"/>
  <c r="L42" i="67"/>
  <c r="B42" i="67"/>
  <c r="X41" i="67"/>
  <c r="Z41" i="67" s="1"/>
  <c r="T41" i="67"/>
  <c r="P41" i="67"/>
  <c r="H41" i="67"/>
  <c r="D41" i="67"/>
  <c r="B41" i="67"/>
  <c r="X40" i="67"/>
  <c r="Z40" i="67" s="1"/>
  <c r="N40" i="67"/>
  <c r="L40" i="67"/>
  <c r="B40" i="67"/>
  <c r="T39" i="67"/>
  <c r="P39" i="67"/>
  <c r="N39" i="67"/>
  <c r="H39" i="67"/>
  <c r="D39" i="67"/>
  <c r="L39" i="67" s="1"/>
  <c r="B39" i="67"/>
  <c r="X38" i="67"/>
  <c r="Z38" i="67" s="1"/>
  <c r="L38" i="67"/>
  <c r="N38" i="67" s="1"/>
  <c r="B38" i="67"/>
  <c r="Z37" i="67"/>
  <c r="T37" i="67"/>
  <c r="P37" i="67"/>
  <c r="X37" i="67" s="1"/>
  <c r="H37" i="67"/>
  <c r="D37" i="67"/>
  <c r="L37" i="67" s="1"/>
  <c r="N37" i="67" s="1"/>
  <c r="B37" i="67"/>
  <c r="Z36" i="67"/>
  <c r="X36" i="67"/>
  <c r="N36" i="67"/>
  <c r="L36" i="67"/>
  <c r="B36" i="67"/>
  <c r="T35" i="67"/>
  <c r="P35" i="67"/>
  <c r="X35" i="67" s="1"/>
  <c r="Z35" i="67" s="1"/>
  <c r="N35" i="67"/>
  <c r="L35" i="67"/>
  <c r="H35" i="67"/>
  <c r="D35" i="67"/>
  <c r="B35" i="67"/>
  <c r="X34" i="67"/>
  <c r="Z34" i="67" s="1"/>
  <c r="N34" i="67"/>
  <c r="L34" i="67"/>
  <c r="B34" i="67"/>
  <c r="X33" i="67"/>
  <c r="Z33" i="67" s="1"/>
  <c r="T33" i="67"/>
  <c r="P33" i="67"/>
  <c r="H33" i="67"/>
  <c r="D33" i="67"/>
  <c r="B33" i="67"/>
  <c r="X32" i="67"/>
  <c r="Z32" i="67" s="1"/>
  <c r="N32" i="67"/>
  <c r="L32" i="67"/>
  <c r="B32" i="67"/>
  <c r="X31" i="67"/>
  <c r="Z31" i="67" s="1"/>
  <c r="N31" i="67"/>
  <c r="L31" i="67"/>
  <c r="B31" i="67"/>
  <c r="X30" i="67"/>
  <c r="Z30" i="67" s="1"/>
  <c r="N30" i="67"/>
  <c r="L30" i="67"/>
  <c r="B30" i="67"/>
  <c r="X29" i="67"/>
  <c r="Z29" i="67" s="1"/>
  <c r="N29" i="67"/>
  <c r="L29" i="67"/>
  <c r="B29" i="67"/>
  <c r="Z28" i="67"/>
  <c r="X28" i="67"/>
  <c r="N28" i="67"/>
  <c r="L28" i="67"/>
  <c r="B28" i="67"/>
  <c r="Z27" i="67"/>
  <c r="X27" i="67"/>
  <c r="N27" i="67"/>
  <c r="L27" i="67"/>
  <c r="B27" i="67"/>
  <c r="X26" i="67"/>
  <c r="Z26" i="67" s="1"/>
  <c r="N26" i="67"/>
  <c r="L26" i="67"/>
  <c r="B26" i="67"/>
  <c r="Z25" i="67"/>
  <c r="X25" i="67"/>
  <c r="N25" i="67"/>
  <c r="L25" i="67"/>
  <c r="B25" i="67"/>
  <c r="T24" i="67"/>
  <c r="P24" i="67"/>
  <c r="L24" i="67"/>
  <c r="H24" i="67"/>
  <c r="N24" i="67" s="1"/>
  <c r="D24" i="67"/>
  <c r="B24" i="67"/>
  <c r="T23" i="67"/>
  <c r="P23" i="67"/>
  <c r="X23" i="67" s="1"/>
  <c r="Z23" i="67" s="1"/>
  <c r="L23" i="67"/>
  <c r="N23" i="67" s="1"/>
  <c r="H23" i="67"/>
  <c r="D23" i="67"/>
  <c r="Z19" i="67"/>
  <c r="X19" i="67"/>
  <c r="N19" i="67"/>
  <c r="L19" i="67"/>
  <c r="B19" i="67"/>
  <c r="T18" i="67"/>
  <c r="P18" i="67"/>
  <c r="X18" i="67" s="1"/>
  <c r="H18" i="67"/>
  <c r="N18" i="67" s="1"/>
  <c r="D18" i="67"/>
  <c r="T16" i="67"/>
  <c r="Z16" i="67" s="1"/>
  <c r="P16" i="67"/>
  <c r="L16" i="67"/>
  <c r="H16" i="67"/>
  <c r="N16" i="67" s="1"/>
  <c r="D16" i="67"/>
  <c r="B16" i="67"/>
  <c r="Z15" i="67"/>
  <c r="X15" i="67"/>
  <c r="T15" i="67"/>
  <c r="P15" i="67"/>
  <c r="N15" i="67"/>
  <c r="H15" i="67"/>
  <c r="D15" i="67"/>
  <c r="L15" i="67" s="1"/>
  <c r="B15" i="67"/>
  <c r="Z14" i="67"/>
  <c r="T14" i="67"/>
  <c r="P14" i="67"/>
  <c r="H14" i="67"/>
  <c r="N14" i="67" s="1"/>
  <c r="D14" i="67"/>
  <c r="L14" i="67" s="1"/>
  <c r="B14" i="67"/>
  <c r="T13" i="67"/>
  <c r="P13" i="67"/>
  <c r="X13" i="67" s="1"/>
  <c r="H13" i="67"/>
  <c r="N13" i="67" s="1"/>
  <c r="D13" i="67"/>
  <c r="B13" i="67"/>
  <c r="H12" i="67"/>
  <c r="J46" i="67" s="1"/>
  <c r="D6" i="67"/>
  <c r="D4" i="67"/>
  <c r="X117" i="66"/>
  <c r="Z117" i="66" s="1"/>
  <c r="N117" i="66"/>
  <c r="L117" i="66"/>
  <c r="Z113" i="66"/>
  <c r="T113" i="66"/>
  <c r="X113" i="66" s="1"/>
  <c r="P113" i="66"/>
  <c r="N113" i="66"/>
  <c r="L113" i="66"/>
  <c r="H113" i="66"/>
  <c r="D113" i="66"/>
  <c r="B113" i="66"/>
  <c r="T112" i="66"/>
  <c r="P112" i="66"/>
  <c r="H112" i="66"/>
  <c r="D112" i="66"/>
  <c r="L112" i="66" s="1"/>
  <c r="B112" i="66"/>
  <c r="T111" i="66"/>
  <c r="P111" i="66"/>
  <c r="P110" i="66" s="1"/>
  <c r="N111" i="66"/>
  <c r="H111" i="66"/>
  <c r="L111" i="66" s="1"/>
  <c r="D111" i="66"/>
  <c r="B111" i="66"/>
  <c r="Z108" i="66"/>
  <c r="X108" i="66"/>
  <c r="N108" i="66"/>
  <c r="L108" i="66"/>
  <c r="B108" i="66"/>
  <c r="T107" i="66"/>
  <c r="P107" i="66"/>
  <c r="X107" i="66" s="1"/>
  <c r="H107" i="66"/>
  <c r="N107" i="66" s="1"/>
  <c r="D107" i="66"/>
  <c r="L107" i="66" s="1"/>
  <c r="B107" i="66"/>
  <c r="Z106" i="66"/>
  <c r="X106" i="66"/>
  <c r="L106" i="66"/>
  <c r="N106" i="66" s="1"/>
  <c r="B106" i="66"/>
  <c r="X105" i="66"/>
  <c r="Z105" i="66" s="1"/>
  <c r="L105" i="66"/>
  <c r="N105" i="66" s="1"/>
  <c r="B105" i="66"/>
  <c r="T104" i="66"/>
  <c r="P104" i="66"/>
  <c r="X104" i="66" s="1"/>
  <c r="Z104" i="66" s="1"/>
  <c r="H104" i="66"/>
  <c r="D104" i="66"/>
  <c r="L104" i="66" s="1"/>
  <c r="N104" i="66" s="1"/>
  <c r="B104" i="66"/>
  <c r="Z103" i="66"/>
  <c r="X103" i="66"/>
  <c r="L103" i="66"/>
  <c r="N103" i="66" s="1"/>
  <c r="B103" i="66"/>
  <c r="Z102" i="66"/>
  <c r="X102" i="66"/>
  <c r="L102" i="66"/>
  <c r="N102" i="66" s="1"/>
  <c r="B102" i="66"/>
  <c r="X101" i="66"/>
  <c r="T101" i="66"/>
  <c r="P101" i="66"/>
  <c r="H101" i="66"/>
  <c r="L101" i="66" s="1"/>
  <c r="D101" i="66"/>
  <c r="B101" i="66"/>
  <c r="Z100" i="66"/>
  <c r="X100" i="66"/>
  <c r="N100" i="66"/>
  <c r="L100" i="66"/>
  <c r="B100" i="66"/>
  <c r="Z99" i="66"/>
  <c r="X99" i="66"/>
  <c r="L99" i="66"/>
  <c r="N99" i="66" s="1"/>
  <c r="B99" i="66"/>
  <c r="T98" i="66"/>
  <c r="P98" i="66"/>
  <c r="X98" i="66" s="1"/>
  <c r="N98" i="66"/>
  <c r="L98" i="66"/>
  <c r="H98" i="66"/>
  <c r="D98" i="66"/>
  <c r="B98" i="66"/>
  <c r="X97" i="66"/>
  <c r="Z97" i="66" s="1"/>
  <c r="N97" i="66"/>
  <c r="L97" i="66"/>
  <c r="B97" i="66"/>
  <c r="X96" i="66"/>
  <c r="Z96" i="66" s="1"/>
  <c r="N96" i="66"/>
  <c r="L96" i="66"/>
  <c r="B96" i="66"/>
  <c r="Z95" i="66"/>
  <c r="X95" i="66"/>
  <c r="N95" i="66"/>
  <c r="L95" i="66"/>
  <c r="B95" i="66"/>
  <c r="T94" i="66"/>
  <c r="P94" i="66"/>
  <c r="X94" i="66" s="1"/>
  <c r="L94" i="66"/>
  <c r="N94" i="66" s="1"/>
  <c r="H94" i="66"/>
  <c r="D94" i="66"/>
  <c r="B94" i="66"/>
  <c r="X93" i="66"/>
  <c r="Z93" i="66" s="1"/>
  <c r="L93" i="66"/>
  <c r="N93" i="66" s="1"/>
  <c r="B93" i="66"/>
  <c r="X92" i="66"/>
  <c r="Z92" i="66" s="1"/>
  <c r="T92" i="66"/>
  <c r="P92" i="66"/>
  <c r="L92" i="66"/>
  <c r="H92" i="66"/>
  <c r="N92" i="66" s="1"/>
  <c r="D92" i="66"/>
  <c r="B92" i="66"/>
  <c r="Z91" i="66"/>
  <c r="X91" i="66"/>
  <c r="L91" i="66"/>
  <c r="N91" i="66" s="1"/>
  <c r="B91" i="66"/>
  <c r="X90" i="66"/>
  <c r="T90" i="66"/>
  <c r="Z90" i="66" s="1"/>
  <c r="P90" i="66"/>
  <c r="H90" i="66"/>
  <c r="D90" i="66"/>
  <c r="L90" i="66" s="1"/>
  <c r="N90" i="66" s="1"/>
  <c r="B90" i="66"/>
  <c r="X89" i="66"/>
  <c r="Z89" i="66" s="1"/>
  <c r="N89" i="66"/>
  <c r="L89" i="66"/>
  <c r="B89" i="66"/>
  <c r="Z88" i="66"/>
  <c r="X88" i="66"/>
  <c r="L88" i="66"/>
  <c r="N88" i="66" s="1"/>
  <c r="B88" i="66"/>
  <c r="T87" i="66"/>
  <c r="P87" i="66"/>
  <c r="X87" i="66" s="1"/>
  <c r="Z87" i="66" s="1"/>
  <c r="L87" i="66"/>
  <c r="H87" i="66"/>
  <c r="D87" i="66"/>
  <c r="B87" i="66"/>
  <c r="Z86" i="66"/>
  <c r="X86" i="66"/>
  <c r="V86" i="66"/>
  <c r="L86" i="66"/>
  <c r="N86" i="66" s="1"/>
  <c r="B86" i="66"/>
  <c r="X85" i="66"/>
  <c r="T85" i="66"/>
  <c r="Z85" i="66" s="1"/>
  <c r="P85" i="66"/>
  <c r="H85" i="66"/>
  <c r="D85" i="66"/>
  <c r="B85" i="66"/>
  <c r="X84" i="66"/>
  <c r="Z84" i="66" s="1"/>
  <c r="N84" i="66"/>
  <c r="L84" i="66"/>
  <c r="B84" i="66"/>
  <c r="T83" i="66"/>
  <c r="P83" i="66"/>
  <c r="H83" i="66"/>
  <c r="N83" i="66" s="1"/>
  <c r="D83" i="66"/>
  <c r="L83" i="66" s="1"/>
  <c r="B83" i="66"/>
  <c r="X82" i="66"/>
  <c r="Z82" i="66" s="1"/>
  <c r="N82" i="66"/>
  <c r="L82" i="66"/>
  <c r="B82" i="66"/>
  <c r="Z81" i="66"/>
  <c r="X81" i="66"/>
  <c r="N81" i="66"/>
  <c r="L81" i="66"/>
  <c r="B81" i="66"/>
  <c r="X80" i="66"/>
  <c r="Z80" i="66" s="1"/>
  <c r="T80" i="66"/>
  <c r="P80" i="66"/>
  <c r="L80" i="66"/>
  <c r="H80" i="66"/>
  <c r="N80" i="66" s="1"/>
  <c r="D80" i="66"/>
  <c r="B80" i="66"/>
  <c r="Z79" i="66"/>
  <c r="X79" i="66"/>
  <c r="L79" i="66"/>
  <c r="N79" i="66" s="1"/>
  <c r="B79" i="66"/>
  <c r="X78" i="66"/>
  <c r="T78" i="66"/>
  <c r="Z78" i="66" s="1"/>
  <c r="P78" i="66"/>
  <c r="H78" i="66"/>
  <c r="D78" i="66"/>
  <c r="L78" i="66" s="1"/>
  <c r="N78" i="66" s="1"/>
  <c r="B78" i="66"/>
  <c r="X77" i="66"/>
  <c r="Z77" i="66" s="1"/>
  <c r="N77" i="66"/>
  <c r="L77" i="66"/>
  <c r="B77" i="66"/>
  <c r="Z76" i="66"/>
  <c r="X76" i="66"/>
  <c r="L76" i="66"/>
  <c r="N76" i="66" s="1"/>
  <c r="B76" i="66"/>
  <c r="Z75" i="66"/>
  <c r="X75" i="66"/>
  <c r="N75" i="66"/>
  <c r="L75" i="66"/>
  <c r="B75" i="66"/>
  <c r="X74" i="66"/>
  <c r="Z74" i="66" s="1"/>
  <c r="N74" i="66"/>
  <c r="L74" i="66"/>
  <c r="B74" i="66"/>
  <c r="Z73" i="66"/>
  <c r="X73" i="66"/>
  <c r="L73" i="66"/>
  <c r="N73" i="66" s="1"/>
  <c r="B73" i="66"/>
  <c r="X72" i="66"/>
  <c r="Z72" i="66" s="1"/>
  <c r="N72" i="66"/>
  <c r="L72" i="66"/>
  <c r="B72" i="66"/>
  <c r="X71" i="66"/>
  <c r="Z71" i="66" s="1"/>
  <c r="N71" i="66"/>
  <c r="L71" i="66"/>
  <c r="B71" i="66"/>
  <c r="V70" i="66"/>
  <c r="T70" i="66"/>
  <c r="P70" i="66"/>
  <c r="X70" i="66" s="1"/>
  <c r="Z70" i="66" s="1"/>
  <c r="L70" i="66"/>
  <c r="N70" i="66" s="1"/>
  <c r="H70" i="66"/>
  <c r="D70" i="66"/>
  <c r="B70" i="66"/>
  <c r="Z69" i="66"/>
  <c r="X69" i="66"/>
  <c r="L69" i="66"/>
  <c r="N69" i="66" s="1"/>
  <c r="B69" i="66"/>
  <c r="X68" i="66"/>
  <c r="Z68" i="66" s="1"/>
  <c r="N68" i="66"/>
  <c r="L68" i="66"/>
  <c r="B68" i="66"/>
  <c r="X67" i="66"/>
  <c r="Z67" i="66" s="1"/>
  <c r="N67" i="66"/>
  <c r="L67" i="66"/>
  <c r="B67" i="66"/>
  <c r="Z66" i="66"/>
  <c r="X66" i="66"/>
  <c r="V66" i="66"/>
  <c r="L66" i="66"/>
  <c r="N66" i="66" s="1"/>
  <c r="B66" i="66"/>
  <c r="X65" i="66"/>
  <c r="Z65" i="66" s="1"/>
  <c r="N65" i="66"/>
  <c r="L65" i="66"/>
  <c r="B65" i="66"/>
  <c r="Z64" i="66"/>
  <c r="X64" i="66"/>
  <c r="L64" i="66"/>
  <c r="N64" i="66" s="1"/>
  <c r="B64" i="66"/>
  <c r="Z63" i="66"/>
  <c r="X63" i="66"/>
  <c r="L63" i="66"/>
  <c r="N63" i="66" s="1"/>
  <c r="B63" i="66"/>
  <c r="X62" i="66"/>
  <c r="Z62" i="66" s="1"/>
  <c r="N62" i="66"/>
  <c r="L62" i="66"/>
  <c r="B62" i="66"/>
  <c r="Z61" i="66"/>
  <c r="X61" i="66"/>
  <c r="L61" i="66"/>
  <c r="N61" i="66" s="1"/>
  <c r="B61" i="66"/>
  <c r="X60" i="66"/>
  <c r="T60" i="66"/>
  <c r="Z60" i="66" s="1"/>
  <c r="P60" i="66"/>
  <c r="L60" i="66"/>
  <c r="H60" i="66"/>
  <c r="N60" i="66" s="1"/>
  <c r="D60" i="66"/>
  <c r="B60" i="66"/>
  <c r="T59" i="66"/>
  <c r="P59" i="66"/>
  <c r="X59" i="66" s="1"/>
  <c r="Z59" i="66" s="1"/>
  <c r="L59" i="66"/>
  <c r="H59" i="66"/>
  <c r="D59" i="66"/>
  <c r="Z55" i="66"/>
  <c r="X55" i="66"/>
  <c r="N55" i="66"/>
  <c r="L55" i="66"/>
  <c r="B55" i="66"/>
  <c r="X54" i="66"/>
  <c r="Z54" i="66" s="1"/>
  <c r="N54" i="66"/>
  <c r="L54" i="66"/>
  <c r="B54" i="66"/>
  <c r="Z53" i="66"/>
  <c r="X53" i="66"/>
  <c r="N53" i="66"/>
  <c r="L53" i="66"/>
  <c r="B53" i="66"/>
  <c r="X52" i="66"/>
  <c r="Z52" i="66" s="1"/>
  <c r="N52" i="66"/>
  <c r="L52" i="66"/>
  <c r="B52" i="66"/>
  <c r="X51" i="66"/>
  <c r="Z51" i="66" s="1"/>
  <c r="L51" i="66"/>
  <c r="N51" i="66" s="1"/>
  <c r="B51" i="66"/>
  <c r="Z50" i="66"/>
  <c r="X50" i="66"/>
  <c r="N50" i="66"/>
  <c r="L50" i="66"/>
  <c r="B50" i="66"/>
  <c r="X49" i="66"/>
  <c r="Z49" i="66" s="1"/>
  <c r="N49" i="66"/>
  <c r="L49" i="66"/>
  <c r="B49" i="66"/>
  <c r="Z48" i="66"/>
  <c r="X48" i="66"/>
  <c r="L48" i="66"/>
  <c r="N48" i="66" s="1"/>
  <c r="B48" i="66"/>
  <c r="X47" i="66"/>
  <c r="Z47" i="66" s="1"/>
  <c r="L47" i="66"/>
  <c r="N47" i="66" s="1"/>
  <c r="B47" i="66"/>
  <c r="X46" i="66"/>
  <c r="Z46" i="66" s="1"/>
  <c r="N46" i="66"/>
  <c r="L46" i="66"/>
  <c r="B46" i="66"/>
  <c r="Z45" i="66"/>
  <c r="X45" i="66"/>
  <c r="L45" i="66"/>
  <c r="N45" i="66" s="1"/>
  <c r="B45" i="66"/>
  <c r="X44" i="66"/>
  <c r="Z44" i="66" s="1"/>
  <c r="N44" i="66"/>
  <c r="L44" i="66"/>
  <c r="B44" i="66"/>
  <c r="X43" i="66"/>
  <c r="Z43" i="66" s="1"/>
  <c r="L43" i="66"/>
  <c r="N43" i="66" s="1"/>
  <c r="B43" i="66"/>
  <c r="Z42" i="66"/>
  <c r="X42" i="66"/>
  <c r="N42" i="66"/>
  <c r="L42" i="66"/>
  <c r="B42" i="66"/>
  <c r="X41" i="66"/>
  <c r="Z41" i="66" s="1"/>
  <c r="N41" i="66"/>
  <c r="L41" i="66"/>
  <c r="B41" i="66"/>
  <c r="Z40" i="66"/>
  <c r="X40" i="66"/>
  <c r="L40" i="66"/>
  <c r="N40" i="66" s="1"/>
  <c r="B40" i="66"/>
  <c r="Z39" i="66"/>
  <c r="X39" i="66"/>
  <c r="N39" i="66"/>
  <c r="L39" i="66"/>
  <c r="B39" i="66"/>
  <c r="X38" i="66"/>
  <c r="Z38" i="66" s="1"/>
  <c r="T38" i="66"/>
  <c r="P38" i="66"/>
  <c r="N38" i="66"/>
  <c r="H38" i="66"/>
  <c r="D38" i="66"/>
  <c r="L38" i="66" s="1"/>
  <c r="T36" i="66"/>
  <c r="Z36" i="66" s="1"/>
  <c r="P36" i="66"/>
  <c r="X36" i="66" s="1"/>
  <c r="N36" i="66"/>
  <c r="L36" i="66"/>
  <c r="H36" i="66"/>
  <c r="D36" i="66"/>
  <c r="B36" i="66"/>
  <c r="X35" i="66"/>
  <c r="T35" i="66"/>
  <c r="Z35" i="66" s="1"/>
  <c r="P35" i="66"/>
  <c r="H35" i="66"/>
  <c r="D35" i="66"/>
  <c r="L35" i="66" s="1"/>
  <c r="N35" i="66" s="1"/>
  <c r="B35" i="66"/>
  <c r="Z34" i="66"/>
  <c r="T34" i="66"/>
  <c r="P34" i="66"/>
  <c r="X34" i="66" s="1"/>
  <c r="H34" i="66"/>
  <c r="D34" i="66"/>
  <c r="B34" i="66"/>
  <c r="T33" i="66"/>
  <c r="P33" i="66"/>
  <c r="H33" i="66"/>
  <c r="D33" i="66"/>
  <c r="L33" i="66" s="1"/>
  <c r="N33" i="66" s="1"/>
  <c r="B33" i="66"/>
  <c r="Z32" i="66"/>
  <c r="X32" i="66"/>
  <c r="T32" i="66"/>
  <c r="P32" i="66"/>
  <c r="H32" i="66"/>
  <c r="N32" i="66" s="1"/>
  <c r="D32" i="66"/>
  <c r="B32" i="66"/>
  <c r="T31" i="66"/>
  <c r="P31" i="66"/>
  <c r="X31" i="66" s="1"/>
  <c r="Z31" i="66" s="1"/>
  <c r="L31" i="66"/>
  <c r="H31" i="66"/>
  <c r="N31" i="66" s="1"/>
  <c r="D31" i="66"/>
  <c r="B31" i="66"/>
  <c r="T30" i="66"/>
  <c r="P30" i="66"/>
  <c r="H30" i="66"/>
  <c r="D30" i="66"/>
  <c r="L30" i="66" s="1"/>
  <c r="N30" i="66" s="1"/>
  <c r="B30" i="66"/>
  <c r="T29" i="66"/>
  <c r="P29" i="66"/>
  <c r="X29" i="66" s="1"/>
  <c r="Z29" i="66" s="1"/>
  <c r="H29" i="66"/>
  <c r="D29" i="66"/>
  <c r="B29" i="66"/>
  <c r="T28" i="66"/>
  <c r="Z28" i="66" s="1"/>
  <c r="P28" i="66"/>
  <c r="X28" i="66" s="1"/>
  <c r="N28" i="66"/>
  <c r="L28" i="66"/>
  <c r="H28" i="66"/>
  <c r="D28" i="66"/>
  <c r="B28" i="66"/>
  <c r="X27" i="66"/>
  <c r="T27" i="66"/>
  <c r="Z27" i="66" s="1"/>
  <c r="P27" i="66"/>
  <c r="H27" i="66"/>
  <c r="D27" i="66"/>
  <c r="L27" i="66" s="1"/>
  <c r="N27" i="66" s="1"/>
  <c r="B27" i="66"/>
  <c r="Z26" i="66"/>
  <c r="T26" i="66"/>
  <c r="P26" i="66"/>
  <c r="X26" i="66" s="1"/>
  <c r="H26" i="66"/>
  <c r="D26" i="66"/>
  <c r="B26" i="66"/>
  <c r="T25" i="66"/>
  <c r="P25" i="66"/>
  <c r="H25" i="66"/>
  <c r="D25" i="66"/>
  <c r="L25" i="66" s="1"/>
  <c r="N25" i="66" s="1"/>
  <c r="B25" i="66"/>
  <c r="X24" i="66"/>
  <c r="Z24" i="66" s="1"/>
  <c r="T24" i="66"/>
  <c r="P24" i="66"/>
  <c r="H24" i="66"/>
  <c r="D24" i="66"/>
  <c r="L24" i="66" s="1"/>
  <c r="B24" i="66"/>
  <c r="T23" i="66"/>
  <c r="P23" i="66"/>
  <c r="X23" i="66" s="1"/>
  <c r="Z23" i="66" s="1"/>
  <c r="L23" i="66"/>
  <c r="H23" i="66"/>
  <c r="N23" i="66" s="1"/>
  <c r="D23" i="66"/>
  <c r="B23" i="66"/>
  <c r="T22" i="66"/>
  <c r="P22" i="66"/>
  <c r="N22" i="66"/>
  <c r="H22" i="66"/>
  <c r="D22" i="66"/>
  <c r="L22" i="66" s="1"/>
  <c r="B22" i="66"/>
  <c r="Z21" i="66"/>
  <c r="T21" i="66"/>
  <c r="P21" i="66"/>
  <c r="X21" i="66" s="1"/>
  <c r="H21" i="66"/>
  <c r="N21" i="66" s="1"/>
  <c r="D21" i="66"/>
  <c r="B21" i="66"/>
  <c r="T20" i="66"/>
  <c r="P20" i="66"/>
  <c r="X20" i="66" s="1"/>
  <c r="L20" i="66"/>
  <c r="N20" i="66" s="1"/>
  <c r="H20" i="66"/>
  <c r="D20" i="66"/>
  <c r="B20" i="66"/>
  <c r="X19" i="66"/>
  <c r="T19" i="66"/>
  <c r="P19" i="66"/>
  <c r="H19" i="66"/>
  <c r="D19" i="66"/>
  <c r="L19" i="66" s="1"/>
  <c r="N19" i="66" s="1"/>
  <c r="B19" i="66"/>
  <c r="Z18" i="66"/>
  <c r="T18" i="66"/>
  <c r="P18" i="66"/>
  <c r="X18" i="66" s="1"/>
  <c r="H18" i="66"/>
  <c r="D18" i="66"/>
  <c r="B18" i="66"/>
  <c r="T17" i="66"/>
  <c r="P17" i="66"/>
  <c r="H17" i="66"/>
  <c r="D17" i="66"/>
  <c r="L17" i="66" s="1"/>
  <c r="N17" i="66" s="1"/>
  <c r="B17" i="66"/>
  <c r="X16" i="66"/>
  <c r="Z16" i="66" s="1"/>
  <c r="T16" i="66"/>
  <c r="P16" i="66"/>
  <c r="H16" i="66"/>
  <c r="D16" i="66"/>
  <c r="L16" i="66" s="1"/>
  <c r="B16" i="66"/>
  <c r="T15" i="66"/>
  <c r="P15" i="66"/>
  <c r="X15" i="66" s="1"/>
  <c r="Z15" i="66" s="1"/>
  <c r="L15" i="66"/>
  <c r="H15" i="66"/>
  <c r="N15" i="66" s="1"/>
  <c r="D15" i="66"/>
  <c r="B15" i="66"/>
  <c r="T14" i="66"/>
  <c r="P14" i="66"/>
  <c r="N14" i="66"/>
  <c r="H14" i="66"/>
  <c r="D14" i="66"/>
  <c r="L14" i="66" s="1"/>
  <c r="B14" i="66"/>
  <c r="T13" i="66"/>
  <c r="P13" i="66"/>
  <c r="H13" i="66"/>
  <c r="D13" i="66"/>
  <c r="B13" i="66"/>
  <c r="T12" i="66"/>
  <c r="V42" i="66" s="1"/>
  <c r="D6" i="66"/>
  <c r="D4" i="66"/>
  <c r="J51" i="65"/>
  <c r="R48" i="65"/>
  <c r="F48" i="65"/>
  <c r="Z46" i="65"/>
  <c r="X46" i="65"/>
  <c r="N46" i="65"/>
  <c r="L46" i="65"/>
  <c r="J46" i="65"/>
  <c r="J44" i="65"/>
  <c r="Z42" i="65"/>
  <c r="T42" i="65"/>
  <c r="R42" i="65"/>
  <c r="P42" i="65"/>
  <c r="X42" i="65" s="1"/>
  <c r="N42" i="65"/>
  <c r="L42" i="65"/>
  <c r="H42" i="65"/>
  <c r="F42" i="65"/>
  <c r="D42" i="65"/>
  <c r="Z40" i="65"/>
  <c r="X40" i="65"/>
  <c r="L40" i="65"/>
  <c r="N40" i="65" s="1"/>
  <c r="J40" i="65"/>
  <c r="B40" i="65"/>
  <c r="T39" i="65"/>
  <c r="P39" i="65"/>
  <c r="X39" i="65" s="1"/>
  <c r="Z39" i="65" s="1"/>
  <c r="L39" i="65"/>
  <c r="H39" i="65"/>
  <c r="D39" i="65"/>
  <c r="B39" i="65"/>
  <c r="Z38" i="65"/>
  <c r="X38" i="65"/>
  <c r="N38" i="65"/>
  <c r="L38" i="65"/>
  <c r="B38" i="65"/>
  <c r="Z37" i="65"/>
  <c r="X37" i="65"/>
  <c r="N37" i="65"/>
  <c r="L37" i="65"/>
  <c r="F37" i="65"/>
  <c r="B37" i="65"/>
  <c r="Z36" i="65"/>
  <c r="T36" i="65"/>
  <c r="P36" i="65"/>
  <c r="X36" i="65" s="1"/>
  <c r="N36" i="65"/>
  <c r="J36" i="65"/>
  <c r="H36" i="65"/>
  <c r="D36" i="65"/>
  <c r="L36" i="65" s="1"/>
  <c r="B36" i="65"/>
  <c r="X35" i="65"/>
  <c r="Z35" i="65" s="1"/>
  <c r="R35" i="65"/>
  <c r="N35" i="65"/>
  <c r="L35" i="65"/>
  <c r="B35" i="65"/>
  <c r="Z34" i="65"/>
  <c r="X34" i="65"/>
  <c r="L34" i="65"/>
  <c r="N34" i="65" s="1"/>
  <c r="B34" i="65"/>
  <c r="X33" i="65"/>
  <c r="T33" i="65"/>
  <c r="P33" i="65"/>
  <c r="H33" i="65"/>
  <c r="D33" i="65"/>
  <c r="B33" i="65"/>
  <c r="X32" i="65"/>
  <c r="Z32" i="65" s="1"/>
  <c r="N32" i="65"/>
  <c r="L32" i="65"/>
  <c r="B32" i="65"/>
  <c r="X31" i="65"/>
  <c r="Z31" i="65" s="1"/>
  <c r="R31" i="65"/>
  <c r="N31" i="65"/>
  <c r="L31" i="65"/>
  <c r="B31" i="65"/>
  <c r="T30" i="65"/>
  <c r="P30" i="65"/>
  <c r="X30" i="65" s="1"/>
  <c r="Z30" i="65" s="1"/>
  <c r="N30" i="65"/>
  <c r="L30" i="65"/>
  <c r="J30" i="65"/>
  <c r="H30" i="65"/>
  <c r="F30" i="65"/>
  <c r="D30" i="65"/>
  <c r="B30" i="65"/>
  <c r="Z29" i="65"/>
  <c r="X29" i="65"/>
  <c r="R29" i="65"/>
  <c r="N29" i="65"/>
  <c r="L29" i="65"/>
  <c r="B29" i="65"/>
  <c r="X28" i="65"/>
  <c r="Z28" i="65" s="1"/>
  <c r="T28" i="65"/>
  <c r="R28" i="65"/>
  <c r="P28" i="65"/>
  <c r="L28" i="65"/>
  <c r="H28" i="65"/>
  <c r="N28" i="65" s="1"/>
  <c r="F28" i="65"/>
  <c r="D28" i="65"/>
  <c r="B28" i="65"/>
  <c r="X27" i="65"/>
  <c r="Z27" i="65" s="1"/>
  <c r="N27" i="65"/>
  <c r="L27" i="65"/>
  <c r="F27" i="65"/>
  <c r="B27" i="65"/>
  <c r="T26" i="65"/>
  <c r="R26" i="65"/>
  <c r="P26" i="65"/>
  <c r="N26" i="65"/>
  <c r="H26" i="65"/>
  <c r="D26" i="65"/>
  <c r="L26" i="65" s="1"/>
  <c r="B26" i="65"/>
  <c r="X25" i="65"/>
  <c r="Z25" i="65" s="1"/>
  <c r="N25" i="65"/>
  <c r="L25" i="65"/>
  <c r="F25" i="65"/>
  <c r="B25" i="65"/>
  <c r="T24" i="65"/>
  <c r="P24" i="65"/>
  <c r="X24" i="65" s="1"/>
  <c r="Z24" i="65" s="1"/>
  <c r="J24" i="65"/>
  <c r="H24" i="65"/>
  <c r="D24" i="65"/>
  <c r="L24" i="65" s="1"/>
  <c r="N24" i="65" s="1"/>
  <c r="B24" i="65"/>
  <c r="Z23" i="65"/>
  <c r="X23" i="65"/>
  <c r="R23" i="65"/>
  <c r="N23" i="65"/>
  <c r="L23" i="65"/>
  <c r="B23" i="65"/>
  <c r="Z22" i="65"/>
  <c r="T22" i="65"/>
  <c r="P22" i="65"/>
  <c r="X22" i="65" s="1"/>
  <c r="L22" i="65"/>
  <c r="J22" i="65"/>
  <c r="H22" i="65"/>
  <c r="N22" i="65" s="1"/>
  <c r="F22" i="65"/>
  <c r="D22" i="65"/>
  <c r="B22" i="65"/>
  <c r="Z21" i="65"/>
  <c r="X21" i="65"/>
  <c r="R21" i="65"/>
  <c r="N21" i="65"/>
  <c r="L21" i="65"/>
  <c r="B21" i="65"/>
  <c r="X20" i="65"/>
  <c r="T20" i="65"/>
  <c r="Z20" i="65" s="1"/>
  <c r="R20" i="65"/>
  <c r="P20" i="65"/>
  <c r="L20" i="65"/>
  <c r="H20" i="65"/>
  <c r="N20" i="65" s="1"/>
  <c r="F20" i="65"/>
  <c r="D20" i="65"/>
  <c r="B20" i="65"/>
  <c r="T19" i="65"/>
  <c r="P19" i="65"/>
  <c r="X19" i="65" s="1"/>
  <c r="Z19" i="65" s="1"/>
  <c r="L19" i="65"/>
  <c r="H19" i="65"/>
  <c r="D19" i="65"/>
  <c r="J17" i="65"/>
  <c r="H17" i="65"/>
  <c r="H44" i="65" s="1"/>
  <c r="D17" i="65"/>
  <c r="Z15" i="65"/>
  <c r="X15" i="65"/>
  <c r="N15" i="65"/>
  <c r="L15" i="65"/>
  <c r="F15" i="65"/>
  <c r="B15" i="65"/>
  <c r="T14" i="65"/>
  <c r="Z14" i="65" s="1"/>
  <c r="R14" i="65"/>
  <c r="P14" i="65"/>
  <c r="N14" i="65"/>
  <c r="J14" i="65"/>
  <c r="H14" i="65"/>
  <c r="D14" i="65"/>
  <c r="L14" i="65" s="1"/>
  <c r="T12" i="65"/>
  <c r="P12" i="65"/>
  <c r="R38" i="65" s="1"/>
  <c r="N12" i="65"/>
  <c r="H12" i="65"/>
  <c r="J39" i="65" s="1"/>
  <c r="D12" i="65"/>
  <c r="F33" i="65" s="1"/>
  <c r="D6" i="65"/>
  <c r="D4" i="65"/>
  <c r="Z84" i="64"/>
  <c r="X84" i="64"/>
  <c r="L84" i="64"/>
  <c r="N84" i="64" s="1"/>
  <c r="Z80" i="64"/>
  <c r="X80" i="64"/>
  <c r="T80" i="64"/>
  <c r="P80" i="64"/>
  <c r="H80" i="64"/>
  <c r="N80" i="64" s="1"/>
  <c r="D80" i="64"/>
  <c r="Z78" i="64"/>
  <c r="X78" i="64"/>
  <c r="N78" i="64"/>
  <c r="L78" i="64"/>
  <c r="B78" i="64"/>
  <c r="T77" i="64"/>
  <c r="P77" i="64"/>
  <c r="X77" i="64" s="1"/>
  <c r="Z77" i="64" s="1"/>
  <c r="L77" i="64"/>
  <c r="H77" i="64"/>
  <c r="N77" i="64" s="1"/>
  <c r="D77" i="64"/>
  <c r="B77" i="64"/>
  <c r="Z76" i="64"/>
  <c r="X76" i="64"/>
  <c r="L76" i="64"/>
  <c r="N76" i="64" s="1"/>
  <c r="B76" i="64"/>
  <c r="X75" i="64"/>
  <c r="T75" i="64"/>
  <c r="Z75" i="64" s="1"/>
  <c r="P75" i="64"/>
  <c r="L75" i="64"/>
  <c r="H75" i="64"/>
  <c r="D75" i="64"/>
  <c r="B75" i="64"/>
  <c r="X74" i="64"/>
  <c r="Z74" i="64" s="1"/>
  <c r="N74" i="64"/>
  <c r="L74" i="64"/>
  <c r="B74" i="64"/>
  <c r="X73" i="64"/>
  <c r="Z73" i="64" s="1"/>
  <c r="N73" i="64"/>
  <c r="L73" i="64"/>
  <c r="B73" i="64"/>
  <c r="Z72" i="64"/>
  <c r="X72" i="64"/>
  <c r="N72" i="64"/>
  <c r="L72" i="64"/>
  <c r="B72" i="64"/>
  <c r="Z71" i="64"/>
  <c r="X71" i="64"/>
  <c r="N71" i="64"/>
  <c r="L71" i="64"/>
  <c r="B71" i="64"/>
  <c r="Z70" i="64"/>
  <c r="T70" i="64"/>
  <c r="P70" i="64"/>
  <c r="X70" i="64" s="1"/>
  <c r="N70" i="64"/>
  <c r="H70" i="64"/>
  <c r="D70" i="64"/>
  <c r="L70" i="64" s="1"/>
  <c r="B70" i="64"/>
  <c r="X69" i="64"/>
  <c r="Z69" i="64" s="1"/>
  <c r="N69" i="64"/>
  <c r="L69" i="64"/>
  <c r="B69" i="64"/>
  <c r="Z68" i="64"/>
  <c r="X68" i="64"/>
  <c r="N68" i="64"/>
  <c r="L68" i="64"/>
  <c r="B68" i="64"/>
  <c r="X67" i="64"/>
  <c r="T67" i="64"/>
  <c r="Z67" i="64" s="1"/>
  <c r="P67" i="64"/>
  <c r="L67" i="64"/>
  <c r="H67" i="64"/>
  <c r="N67" i="64" s="1"/>
  <c r="D67" i="64"/>
  <c r="B67" i="64"/>
  <c r="Z66" i="64"/>
  <c r="X66" i="64"/>
  <c r="N66" i="64"/>
  <c r="L66" i="64"/>
  <c r="B66" i="64"/>
  <c r="X65" i="64"/>
  <c r="Z65" i="64" s="1"/>
  <c r="N65" i="64"/>
  <c r="L65" i="64"/>
  <c r="B65" i="64"/>
  <c r="Z64" i="64"/>
  <c r="T64" i="64"/>
  <c r="P64" i="64"/>
  <c r="X64" i="64" s="1"/>
  <c r="N64" i="64"/>
  <c r="L64" i="64"/>
  <c r="H64" i="64"/>
  <c r="D64" i="64"/>
  <c r="B64" i="64"/>
  <c r="Z63" i="64"/>
  <c r="X63" i="64"/>
  <c r="N63" i="64"/>
  <c r="L63" i="64"/>
  <c r="B63" i="64"/>
  <c r="Z62" i="64"/>
  <c r="X62" i="64"/>
  <c r="T62" i="64"/>
  <c r="P62" i="64"/>
  <c r="H62" i="64"/>
  <c r="N62" i="64" s="1"/>
  <c r="D62" i="64"/>
  <c r="B62" i="64"/>
  <c r="X61" i="64"/>
  <c r="Z61" i="64" s="1"/>
  <c r="N61" i="64"/>
  <c r="L61" i="64"/>
  <c r="B61" i="64"/>
  <c r="T60" i="64"/>
  <c r="P60" i="64"/>
  <c r="N60" i="64"/>
  <c r="H60" i="64"/>
  <c r="D60" i="64"/>
  <c r="L60" i="64" s="1"/>
  <c r="B60" i="64"/>
  <c r="Z59" i="64"/>
  <c r="X59" i="64"/>
  <c r="N59" i="64"/>
  <c r="L59" i="64"/>
  <c r="B59" i="64"/>
  <c r="Z58" i="64"/>
  <c r="T58" i="64"/>
  <c r="P58" i="64"/>
  <c r="X58" i="64" s="1"/>
  <c r="N58" i="64"/>
  <c r="H58" i="64"/>
  <c r="D58" i="64"/>
  <c r="L58" i="64" s="1"/>
  <c r="B58" i="64"/>
  <c r="Z57" i="64"/>
  <c r="X57" i="64"/>
  <c r="N57" i="64"/>
  <c r="L57" i="64"/>
  <c r="B57" i="64"/>
  <c r="Z56" i="64"/>
  <c r="X56" i="64"/>
  <c r="N56" i="64"/>
  <c r="L56" i="64"/>
  <c r="B56" i="64"/>
  <c r="X55" i="64"/>
  <c r="T55" i="64"/>
  <c r="Z55" i="64" s="1"/>
  <c r="P55" i="64"/>
  <c r="H55" i="64"/>
  <c r="N55" i="64" s="1"/>
  <c r="D55" i="64"/>
  <c r="B55" i="64"/>
  <c r="X54" i="64"/>
  <c r="Z54" i="64" s="1"/>
  <c r="N54" i="64"/>
  <c r="L54" i="64"/>
  <c r="B54" i="64"/>
  <c r="T53" i="64"/>
  <c r="P53" i="64"/>
  <c r="H53" i="64"/>
  <c r="N53" i="64" s="1"/>
  <c r="D53" i="64"/>
  <c r="L53" i="64" s="1"/>
  <c r="B53" i="64"/>
  <c r="X52" i="64"/>
  <c r="Z52" i="64" s="1"/>
  <c r="N52" i="64"/>
  <c r="L52" i="64"/>
  <c r="B52" i="64"/>
  <c r="T51" i="64"/>
  <c r="P51" i="64"/>
  <c r="X51" i="64" s="1"/>
  <c r="N51" i="64"/>
  <c r="H51" i="64"/>
  <c r="D51" i="64"/>
  <c r="L51" i="64" s="1"/>
  <c r="B51" i="64"/>
  <c r="Z50" i="64"/>
  <c r="X50" i="64"/>
  <c r="N50" i="64"/>
  <c r="L50" i="64"/>
  <c r="B50" i="64"/>
  <c r="Z49" i="64"/>
  <c r="X49" i="64"/>
  <c r="N49" i="64"/>
  <c r="L49" i="64"/>
  <c r="B49" i="64"/>
  <c r="X48" i="64"/>
  <c r="Z48" i="64" s="1"/>
  <c r="N48" i="64"/>
  <c r="L48" i="64"/>
  <c r="B48" i="64"/>
  <c r="Z47" i="64"/>
  <c r="X47" i="64"/>
  <c r="N47" i="64"/>
  <c r="L47" i="64"/>
  <c r="B47" i="64"/>
  <c r="T46" i="64"/>
  <c r="P46" i="64"/>
  <c r="X46" i="64" s="1"/>
  <c r="Z46" i="64" s="1"/>
  <c r="H46" i="64"/>
  <c r="N46" i="64" s="1"/>
  <c r="D46" i="64"/>
  <c r="B46" i="64"/>
  <c r="Z45" i="64"/>
  <c r="X45" i="64"/>
  <c r="N45" i="64"/>
  <c r="L45" i="64"/>
  <c r="B45" i="64"/>
  <c r="Z44" i="64"/>
  <c r="X44" i="64"/>
  <c r="N44" i="64"/>
  <c r="L44" i="64"/>
  <c r="B44" i="64"/>
  <c r="Z43" i="64"/>
  <c r="X43" i="64"/>
  <c r="N43" i="64"/>
  <c r="L43" i="64"/>
  <c r="B43" i="64"/>
  <c r="T42" i="64"/>
  <c r="Z42" i="64" s="1"/>
  <c r="P42" i="64"/>
  <c r="X42" i="64" s="1"/>
  <c r="H42" i="64"/>
  <c r="N42" i="64" s="1"/>
  <c r="D42" i="64"/>
  <c r="B42" i="64"/>
  <c r="T41" i="64"/>
  <c r="P41" i="64"/>
  <c r="X41" i="64" s="1"/>
  <c r="L41" i="64"/>
  <c r="H41" i="64"/>
  <c r="D41" i="64"/>
  <c r="X37" i="64"/>
  <c r="Z37" i="64" s="1"/>
  <c r="L37" i="64"/>
  <c r="N37" i="64" s="1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N32" i="64"/>
  <c r="L32" i="64"/>
  <c r="B32" i="64"/>
  <c r="X31" i="64"/>
  <c r="Z31" i="64" s="1"/>
  <c r="N31" i="64"/>
  <c r="L31" i="64"/>
  <c r="B31" i="64"/>
  <c r="Z30" i="64"/>
  <c r="X30" i="64"/>
  <c r="N30" i="64"/>
  <c r="L30" i="64"/>
  <c r="B30" i="64"/>
  <c r="X29" i="64"/>
  <c r="Z29" i="64" s="1"/>
  <c r="N29" i="64"/>
  <c r="L29" i="64"/>
  <c r="B29" i="64"/>
  <c r="Z28" i="64"/>
  <c r="X28" i="64"/>
  <c r="N28" i="64"/>
  <c r="L28" i="64"/>
  <c r="B28" i="64"/>
  <c r="T27" i="64"/>
  <c r="P27" i="64"/>
  <c r="X27" i="64" s="1"/>
  <c r="H27" i="64"/>
  <c r="N27" i="64" s="1"/>
  <c r="D27" i="64"/>
  <c r="L27" i="64" s="1"/>
  <c r="X25" i="64"/>
  <c r="T25" i="64"/>
  <c r="Z25" i="64" s="1"/>
  <c r="P25" i="64"/>
  <c r="N25" i="64"/>
  <c r="H25" i="64"/>
  <c r="D25" i="64"/>
  <c r="L25" i="64" s="1"/>
  <c r="B25" i="64"/>
  <c r="T24" i="64"/>
  <c r="X24" i="64" s="1"/>
  <c r="Z24" i="64" s="1"/>
  <c r="P24" i="64"/>
  <c r="H24" i="64"/>
  <c r="D24" i="64"/>
  <c r="B24" i="64"/>
  <c r="T23" i="64"/>
  <c r="P23" i="64"/>
  <c r="X23" i="64" s="1"/>
  <c r="Z23" i="64" s="1"/>
  <c r="N23" i="64"/>
  <c r="L23" i="64"/>
  <c r="H23" i="64"/>
  <c r="D23" i="64"/>
  <c r="B23" i="64"/>
  <c r="T22" i="64"/>
  <c r="Z22" i="64" s="1"/>
  <c r="P22" i="64"/>
  <c r="N22" i="64"/>
  <c r="H22" i="64"/>
  <c r="D22" i="64"/>
  <c r="L22" i="64" s="1"/>
  <c r="B22" i="64"/>
  <c r="T21" i="64"/>
  <c r="P21" i="64"/>
  <c r="X21" i="64" s="1"/>
  <c r="Z21" i="64" s="1"/>
  <c r="L21" i="64"/>
  <c r="H21" i="64"/>
  <c r="N21" i="64" s="1"/>
  <c r="D21" i="64"/>
  <c r="B21" i="64"/>
  <c r="T20" i="64"/>
  <c r="P20" i="64"/>
  <c r="N20" i="64"/>
  <c r="H20" i="64"/>
  <c r="D20" i="64"/>
  <c r="L20" i="64" s="1"/>
  <c r="B20" i="64"/>
  <c r="X19" i="64"/>
  <c r="Z19" i="64" s="1"/>
  <c r="T19" i="64"/>
  <c r="P19" i="64"/>
  <c r="N19" i="64"/>
  <c r="H19" i="64"/>
  <c r="D19" i="64"/>
  <c r="L19" i="64" s="1"/>
  <c r="B19" i="64"/>
  <c r="T18" i="64"/>
  <c r="P18" i="64"/>
  <c r="H18" i="64"/>
  <c r="N18" i="64" s="1"/>
  <c r="D18" i="64"/>
  <c r="B18" i="64"/>
  <c r="X17" i="64"/>
  <c r="T17" i="64"/>
  <c r="Z17" i="64" s="1"/>
  <c r="P17" i="64"/>
  <c r="N17" i="64"/>
  <c r="H17" i="64"/>
  <c r="D17" i="64"/>
  <c r="L17" i="64" s="1"/>
  <c r="B17" i="64"/>
  <c r="T16" i="64"/>
  <c r="P16" i="64"/>
  <c r="X16" i="64" s="1"/>
  <c r="Z16" i="64" s="1"/>
  <c r="H16" i="64"/>
  <c r="D16" i="64"/>
  <c r="B16" i="64"/>
  <c r="T15" i="64"/>
  <c r="Z15" i="64" s="1"/>
  <c r="P15" i="64"/>
  <c r="X15" i="64" s="1"/>
  <c r="N15" i="64"/>
  <c r="H15" i="64"/>
  <c r="D15" i="64"/>
  <c r="L15" i="64" s="1"/>
  <c r="B15" i="64"/>
  <c r="T14" i="64"/>
  <c r="P14" i="64"/>
  <c r="H14" i="64"/>
  <c r="D14" i="64"/>
  <c r="L14" i="64" s="1"/>
  <c r="B14" i="64"/>
  <c r="T13" i="64"/>
  <c r="P13" i="64"/>
  <c r="L13" i="64"/>
  <c r="H13" i="64"/>
  <c r="N13" i="64" s="1"/>
  <c r="D13" i="64"/>
  <c r="B13" i="64"/>
  <c r="D6" i="64"/>
  <c r="D4" i="64"/>
  <c r="V106" i="62"/>
  <c r="F106" i="62"/>
  <c r="Z101" i="62"/>
  <c r="X101" i="62"/>
  <c r="V101" i="62"/>
  <c r="N101" i="62"/>
  <c r="L101" i="62"/>
  <c r="V99" i="62"/>
  <c r="F99" i="62"/>
  <c r="T97" i="62"/>
  <c r="P97" i="62"/>
  <c r="X97" i="62" s="1"/>
  <c r="N97" i="62"/>
  <c r="H97" i="62"/>
  <c r="D97" i="62"/>
  <c r="L97" i="62" s="1"/>
  <c r="B97" i="62"/>
  <c r="T96" i="62"/>
  <c r="H96" i="62"/>
  <c r="D96" i="62"/>
  <c r="L96" i="62" s="1"/>
  <c r="Z94" i="62"/>
  <c r="X94" i="62"/>
  <c r="L94" i="62"/>
  <c r="N94" i="62" s="1"/>
  <c r="B94" i="62"/>
  <c r="T93" i="62"/>
  <c r="Z93" i="62" s="1"/>
  <c r="R93" i="62"/>
  <c r="P93" i="62"/>
  <c r="X93" i="62" s="1"/>
  <c r="H93" i="62"/>
  <c r="D93" i="62"/>
  <c r="L93" i="62" s="1"/>
  <c r="B93" i="62"/>
  <c r="X92" i="62"/>
  <c r="Z92" i="62" s="1"/>
  <c r="N92" i="62"/>
  <c r="L92" i="62"/>
  <c r="F92" i="62"/>
  <c r="B92" i="62"/>
  <c r="Z91" i="62"/>
  <c r="X91" i="62"/>
  <c r="N91" i="62"/>
  <c r="L91" i="62"/>
  <c r="J91" i="62"/>
  <c r="B91" i="62"/>
  <c r="T90" i="62"/>
  <c r="Z90" i="62" s="1"/>
  <c r="P90" i="62"/>
  <c r="X90" i="62" s="1"/>
  <c r="N90" i="62"/>
  <c r="L90" i="62"/>
  <c r="H90" i="62"/>
  <c r="D90" i="62"/>
  <c r="B90" i="62"/>
  <c r="Z89" i="62"/>
  <c r="X89" i="62"/>
  <c r="N89" i="62"/>
  <c r="L89" i="62"/>
  <c r="B89" i="62"/>
  <c r="X88" i="62"/>
  <c r="Z88" i="62" s="1"/>
  <c r="T88" i="62"/>
  <c r="P88" i="62"/>
  <c r="N88" i="62"/>
  <c r="L88" i="62"/>
  <c r="H88" i="62"/>
  <c r="D88" i="62"/>
  <c r="B88" i="62"/>
  <c r="X87" i="62"/>
  <c r="Z87" i="62" s="1"/>
  <c r="V87" i="62"/>
  <c r="N87" i="62"/>
  <c r="L87" i="62"/>
  <c r="B87" i="62"/>
  <c r="X86" i="62"/>
  <c r="Z86" i="62" s="1"/>
  <c r="T86" i="62"/>
  <c r="P86" i="62"/>
  <c r="H86" i="62"/>
  <c r="D86" i="62"/>
  <c r="L86" i="62" s="1"/>
  <c r="B86" i="62"/>
  <c r="X85" i="62"/>
  <c r="Z85" i="62" s="1"/>
  <c r="N85" i="62"/>
  <c r="L85" i="62"/>
  <c r="B85" i="62"/>
  <c r="Z84" i="62"/>
  <c r="X84" i="62"/>
  <c r="R84" i="62"/>
  <c r="N84" i="62"/>
  <c r="L84" i="62"/>
  <c r="B84" i="62"/>
  <c r="X83" i="62"/>
  <c r="Z83" i="62" s="1"/>
  <c r="V83" i="62"/>
  <c r="N83" i="62"/>
  <c r="L83" i="62"/>
  <c r="B83" i="62"/>
  <c r="X82" i="62"/>
  <c r="Z82" i="62" s="1"/>
  <c r="L82" i="62"/>
  <c r="N82" i="62" s="1"/>
  <c r="B82" i="62"/>
  <c r="Z81" i="62"/>
  <c r="X81" i="62"/>
  <c r="L81" i="62"/>
  <c r="N81" i="62" s="1"/>
  <c r="B81" i="62"/>
  <c r="X80" i="62"/>
  <c r="Z80" i="62" s="1"/>
  <c r="N80" i="62"/>
  <c r="L80" i="62"/>
  <c r="F80" i="62"/>
  <c r="B80" i="62"/>
  <c r="T79" i="62"/>
  <c r="P79" i="62"/>
  <c r="X79" i="62" s="1"/>
  <c r="Z79" i="62" s="1"/>
  <c r="N79" i="62"/>
  <c r="H79" i="62"/>
  <c r="D79" i="62"/>
  <c r="L79" i="62" s="1"/>
  <c r="B79" i="62"/>
  <c r="Z78" i="62"/>
  <c r="X78" i="62"/>
  <c r="N78" i="62"/>
  <c r="L78" i="62"/>
  <c r="B78" i="62"/>
  <c r="Z77" i="62"/>
  <c r="T77" i="62"/>
  <c r="P77" i="62"/>
  <c r="X77" i="62" s="1"/>
  <c r="N77" i="62"/>
  <c r="L77" i="62"/>
  <c r="J77" i="62"/>
  <c r="H77" i="62"/>
  <c r="D77" i="62"/>
  <c r="B77" i="62"/>
  <c r="Z76" i="62"/>
  <c r="X76" i="62"/>
  <c r="R76" i="62"/>
  <c r="L76" i="62"/>
  <c r="N76" i="62" s="1"/>
  <c r="B76" i="62"/>
  <c r="X75" i="62"/>
  <c r="Z75" i="62" s="1"/>
  <c r="V75" i="62"/>
  <c r="N75" i="62"/>
  <c r="L75" i="62"/>
  <c r="B75" i="62"/>
  <c r="X74" i="62"/>
  <c r="Z74" i="62" s="1"/>
  <c r="N74" i="62"/>
  <c r="L74" i="62"/>
  <c r="B74" i="62"/>
  <c r="Z73" i="62"/>
  <c r="T73" i="62"/>
  <c r="P73" i="62"/>
  <c r="X73" i="62" s="1"/>
  <c r="L73" i="62"/>
  <c r="N73" i="62" s="1"/>
  <c r="J73" i="62"/>
  <c r="H73" i="62"/>
  <c r="D73" i="62"/>
  <c r="B73" i="62"/>
  <c r="Z72" i="62"/>
  <c r="X72" i="62"/>
  <c r="R72" i="62"/>
  <c r="L72" i="62"/>
  <c r="N72" i="62" s="1"/>
  <c r="B72" i="62"/>
  <c r="X71" i="62"/>
  <c r="Z71" i="62" s="1"/>
  <c r="V71" i="62"/>
  <c r="N71" i="62"/>
  <c r="L71" i="62"/>
  <c r="B71" i="62"/>
  <c r="Z70" i="62"/>
  <c r="X70" i="62"/>
  <c r="N70" i="62"/>
  <c r="L70" i="62"/>
  <c r="B70" i="62"/>
  <c r="Z69" i="62"/>
  <c r="X69" i="62"/>
  <c r="N69" i="62"/>
  <c r="L69" i="62"/>
  <c r="B69" i="62"/>
  <c r="T68" i="62"/>
  <c r="P68" i="62"/>
  <c r="X68" i="62" s="1"/>
  <c r="Z68" i="62" s="1"/>
  <c r="L68" i="62"/>
  <c r="N68" i="62" s="1"/>
  <c r="H68" i="62"/>
  <c r="D68" i="62"/>
  <c r="B68" i="62"/>
  <c r="X67" i="62"/>
  <c r="Z67" i="62" s="1"/>
  <c r="V67" i="62"/>
  <c r="N67" i="62"/>
  <c r="L67" i="62"/>
  <c r="B67" i="62"/>
  <c r="X66" i="62"/>
  <c r="Z66" i="62" s="1"/>
  <c r="T66" i="62"/>
  <c r="P66" i="62"/>
  <c r="H66" i="62"/>
  <c r="D66" i="62"/>
  <c r="B66" i="62"/>
  <c r="Z65" i="62"/>
  <c r="X65" i="62"/>
  <c r="N65" i="62"/>
  <c r="L65" i="62"/>
  <c r="B65" i="62"/>
  <c r="V64" i="62"/>
  <c r="T64" i="62"/>
  <c r="P64" i="62"/>
  <c r="H64" i="62"/>
  <c r="N64" i="62" s="1"/>
  <c r="D64" i="62"/>
  <c r="L64" i="62" s="1"/>
  <c r="B64" i="62"/>
  <c r="Z63" i="62"/>
  <c r="X63" i="62"/>
  <c r="L63" i="62"/>
  <c r="N63" i="62" s="1"/>
  <c r="J63" i="62"/>
  <c r="B63" i="62"/>
  <c r="T62" i="62"/>
  <c r="R62" i="62"/>
  <c r="P62" i="62"/>
  <c r="X62" i="62" s="1"/>
  <c r="H62" i="62"/>
  <c r="D62" i="62"/>
  <c r="L62" i="62" s="1"/>
  <c r="N62" i="62" s="1"/>
  <c r="B62" i="62"/>
  <c r="Z61" i="62"/>
  <c r="X61" i="62"/>
  <c r="L61" i="62"/>
  <c r="N61" i="62" s="1"/>
  <c r="B61" i="62"/>
  <c r="T60" i="62"/>
  <c r="P60" i="62"/>
  <c r="X60" i="62" s="1"/>
  <c r="Z60" i="62" s="1"/>
  <c r="L60" i="62"/>
  <c r="N60" i="62" s="1"/>
  <c r="H60" i="62"/>
  <c r="D60" i="62"/>
  <c r="B60" i="62"/>
  <c r="X59" i="62"/>
  <c r="Z59" i="62" s="1"/>
  <c r="V59" i="62"/>
  <c r="N59" i="62"/>
  <c r="L59" i="62"/>
  <c r="B59" i="62"/>
  <c r="X58" i="62"/>
  <c r="Z58" i="62" s="1"/>
  <c r="T58" i="62"/>
  <c r="P58" i="62"/>
  <c r="H58" i="62"/>
  <c r="D58" i="62"/>
  <c r="B58" i="62"/>
  <c r="X57" i="62"/>
  <c r="Z57" i="62" s="1"/>
  <c r="R57" i="62"/>
  <c r="N57" i="62"/>
  <c r="L57" i="62"/>
  <c r="B57" i="62"/>
  <c r="V56" i="62"/>
  <c r="T56" i="62"/>
  <c r="P56" i="62"/>
  <c r="H56" i="62"/>
  <c r="N56" i="62" s="1"/>
  <c r="F56" i="62"/>
  <c r="D56" i="62"/>
  <c r="L56" i="62" s="1"/>
  <c r="B56" i="62"/>
  <c r="Z55" i="62"/>
  <c r="X55" i="62"/>
  <c r="L55" i="62"/>
  <c r="N55" i="62" s="1"/>
  <c r="J55" i="62"/>
  <c r="B55" i="62"/>
  <c r="T54" i="62"/>
  <c r="Z54" i="62" s="1"/>
  <c r="R54" i="62"/>
  <c r="P54" i="62"/>
  <c r="X54" i="62" s="1"/>
  <c r="H54" i="62"/>
  <c r="D54" i="62"/>
  <c r="L54" i="62" s="1"/>
  <c r="N54" i="62" s="1"/>
  <c r="B54" i="62"/>
  <c r="Z53" i="62"/>
  <c r="X53" i="62"/>
  <c r="N53" i="62"/>
  <c r="L53" i="62"/>
  <c r="F53" i="62"/>
  <c r="B53" i="62"/>
  <c r="Z52" i="62"/>
  <c r="T52" i="62"/>
  <c r="P52" i="62"/>
  <c r="X52" i="62" s="1"/>
  <c r="N52" i="62"/>
  <c r="L52" i="62"/>
  <c r="H52" i="62"/>
  <c r="D52" i="62"/>
  <c r="B52" i="62"/>
  <c r="Z51" i="62"/>
  <c r="X51" i="62"/>
  <c r="V51" i="62"/>
  <c r="N51" i="62"/>
  <c r="L51" i="62"/>
  <c r="B51" i="62"/>
  <c r="Z50" i="62"/>
  <c r="X50" i="62"/>
  <c r="N50" i="62"/>
  <c r="L50" i="62"/>
  <c r="B50" i="62"/>
  <c r="Z49" i="62"/>
  <c r="T49" i="62"/>
  <c r="P49" i="62"/>
  <c r="X49" i="62" s="1"/>
  <c r="N49" i="62"/>
  <c r="L49" i="62"/>
  <c r="J49" i="62"/>
  <c r="H49" i="62"/>
  <c r="D49" i="62"/>
  <c r="B49" i="62"/>
  <c r="X48" i="62"/>
  <c r="Z48" i="62" s="1"/>
  <c r="V48" i="62"/>
  <c r="R48" i="62"/>
  <c r="L48" i="62"/>
  <c r="N48" i="62" s="1"/>
  <c r="B48" i="62"/>
  <c r="X47" i="62"/>
  <c r="Z47" i="62" s="1"/>
  <c r="V47" i="62"/>
  <c r="N47" i="62"/>
  <c r="L47" i="62"/>
  <c r="B47" i="62"/>
  <c r="X46" i="62"/>
  <c r="Z46" i="62" s="1"/>
  <c r="T46" i="62"/>
  <c r="P46" i="62"/>
  <c r="H46" i="62"/>
  <c r="D46" i="62"/>
  <c r="B46" i="62"/>
  <c r="X45" i="62"/>
  <c r="Z45" i="62" s="1"/>
  <c r="R45" i="62"/>
  <c r="N45" i="62"/>
  <c r="L45" i="62"/>
  <c r="B45" i="62"/>
  <c r="V44" i="62"/>
  <c r="T44" i="62"/>
  <c r="P44" i="62"/>
  <c r="H44" i="62"/>
  <c r="N44" i="62" s="1"/>
  <c r="F44" i="62"/>
  <c r="D44" i="62"/>
  <c r="L44" i="62" s="1"/>
  <c r="B44" i="62"/>
  <c r="Z43" i="62"/>
  <c r="X43" i="62"/>
  <c r="L43" i="62"/>
  <c r="N43" i="62" s="1"/>
  <c r="J43" i="62"/>
  <c r="B43" i="62"/>
  <c r="X42" i="62"/>
  <c r="Z42" i="62" s="1"/>
  <c r="L42" i="62"/>
  <c r="N42" i="62" s="1"/>
  <c r="B42" i="62"/>
  <c r="T41" i="62"/>
  <c r="R41" i="62"/>
  <c r="P41" i="62"/>
  <c r="X41" i="62" s="1"/>
  <c r="H41" i="62"/>
  <c r="D41" i="62"/>
  <c r="L41" i="62" s="1"/>
  <c r="N41" i="62" s="1"/>
  <c r="B41" i="62"/>
  <c r="X40" i="62"/>
  <c r="Z40" i="62" s="1"/>
  <c r="L40" i="62"/>
  <c r="N40" i="62" s="1"/>
  <c r="F40" i="62"/>
  <c r="B40" i="62"/>
  <c r="T39" i="62"/>
  <c r="P39" i="62"/>
  <c r="X39" i="62" s="1"/>
  <c r="Z39" i="62" s="1"/>
  <c r="N39" i="62"/>
  <c r="L39" i="62"/>
  <c r="H39" i="62"/>
  <c r="D39" i="62"/>
  <c r="B39" i="62"/>
  <c r="Z38" i="62"/>
  <c r="X38" i="62"/>
  <c r="N38" i="62"/>
  <c r="L38" i="62"/>
  <c r="B38" i="62"/>
  <c r="Z37" i="62"/>
  <c r="X37" i="62"/>
  <c r="L37" i="62"/>
  <c r="N37" i="62" s="1"/>
  <c r="F37" i="62"/>
  <c r="B37" i="62"/>
  <c r="X36" i="62"/>
  <c r="Z36" i="62" s="1"/>
  <c r="N36" i="62"/>
  <c r="L36" i="62"/>
  <c r="J36" i="62"/>
  <c r="F36" i="62"/>
  <c r="B36" i="62"/>
  <c r="Z35" i="62"/>
  <c r="X35" i="62"/>
  <c r="L35" i="62"/>
  <c r="N35" i="62" s="1"/>
  <c r="J35" i="62"/>
  <c r="B35" i="62"/>
  <c r="X34" i="62"/>
  <c r="Z34" i="62" s="1"/>
  <c r="L34" i="62"/>
  <c r="N34" i="62" s="1"/>
  <c r="B34" i="62"/>
  <c r="X33" i="62"/>
  <c r="Z33" i="62" s="1"/>
  <c r="R33" i="62"/>
  <c r="N33" i="62"/>
  <c r="L33" i="62"/>
  <c r="B33" i="62"/>
  <c r="X32" i="62"/>
  <c r="Z32" i="62" s="1"/>
  <c r="V32" i="62"/>
  <c r="R32" i="62"/>
  <c r="L32" i="62"/>
  <c r="N32" i="62" s="1"/>
  <c r="B32" i="62"/>
  <c r="X31" i="62"/>
  <c r="Z31" i="62" s="1"/>
  <c r="V31" i="62"/>
  <c r="T31" i="62"/>
  <c r="P31" i="62"/>
  <c r="H31" i="62"/>
  <c r="F31" i="62"/>
  <c r="D31" i="62"/>
  <c r="L31" i="62" s="1"/>
  <c r="B31" i="62"/>
  <c r="Z30" i="62"/>
  <c r="X30" i="62"/>
  <c r="L30" i="62"/>
  <c r="N30" i="62" s="1"/>
  <c r="B30" i="62"/>
  <c r="X29" i="62"/>
  <c r="Z29" i="62" s="1"/>
  <c r="R29" i="62"/>
  <c r="N29" i="62"/>
  <c r="L29" i="62"/>
  <c r="B29" i="62"/>
  <c r="X28" i="62"/>
  <c r="Z28" i="62" s="1"/>
  <c r="V28" i="62"/>
  <c r="R28" i="62"/>
  <c r="L28" i="62"/>
  <c r="N28" i="62" s="1"/>
  <c r="B28" i="62"/>
  <c r="X27" i="62"/>
  <c r="Z27" i="62" s="1"/>
  <c r="V27" i="62"/>
  <c r="N27" i="62"/>
  <c r="L27" i="62"/>
  <c r="B27" i="62"/>
  <c r="X26" i="62"/>
  <c r="Z26" i="62" s="1"/>
  <c r="N26" i="62"/>
  <c r="L26" i="62"/>
  <c r="B26" i="62"/>
  <c r="Z25" i="62"/>
  <c r="X25" i="62"/>
  <c r="L25" i="62"/>
  <c r="N25" i="62" s="1"/>
  <c r="F25" i="62"/>
  <c r="B25" i="62"/>
  <c r="X24" i="62"/>
  <c r="Z24" i="62" s="1"/>
  <c r="L24" i="62"/>
  <c r="N24" i="62" s="1"/>
  <c r="J24" i="62"/>
  <c r="F24" i="62"/>
  <c r="B24" i="62"/>
  <c r="Z23" i="62"/>
  <c r="X23" i="62"/>
  <c r="L23" i="62"/>
  <c r="N23" i="62" s="1"/>
  <c r="J23" i="62"/>
  <c r="B23" i="62"/>
  <c r="X22" i="62"/>
  <c r="Z22" i="62" s="1"/>
  <c r="N22" i="62"/>
  <c r="L22" i="62"/>
  <c r="B22" i="62"/>
  <c r="X21" i="62"/>
  <c r="Z21" i="62" s="1"/>
  <c r="R21" i="62"/>
  <c r="N21" i="62"/>
  <c r="L21" i="62"/>
  <c r="B21" i="62"/>
  <c r="V20" i="62"/>
  <c r="T20" i="62"/>
  <c r="P20" i="62"/>
  <c r="H20" i="62"/>
  <c r="F20" i="62"/>
  <c r="D20" i="62"/>
  <c r="L20" i="62" s="1"/>
  <c r="B20" i="62"/>
  <c r="T19" i="62"/>
  <c r="P19" i="62"/>
  <c r="X19" i="62" s="1"/>
  <c r="N19" i="62"/>
  <c r="H19" i="62"/>
  <c r="D19" i="62"/>
  <c r="L19" i="62" s="1"/>
  <c r="V17" i="62"/>
  <c r="H17" i="62"/>
  <c r="F17" i="62"/>
  <c r="Z15" i="62"/>
  <c r="X15" i="62"/>
  <c r="R15" i="62"/>
  <c r="N15" i="62"/>
  <c r="L15" i="62"/>
  <c r="J15" i="62"/>
  <c r="B15" i="62"/>
  <c r="V14" i="62"/>
  <c r="T14" i="62"/>
  <c r="Z14" i="62" s="1"/>
  <c r="R14" i="62"/>
  <c r="P14" i="62"/>
  <c r="X14" i="62" s="1"/>
  <c r="N14" i="62"/>
  <c r="H14" i="62"/>
  <c r="F14" i="62"/>
  <c r="D14" i="62"/>
  <c r="L14" i="62" s="1"/>
  <c r="Z12" i="62"/>
  <c r="X12" i="62"/>
  <c r="T12" i="62"/>
  <c r="V96" i="62" s="1"/>
  <c r="P12" i="62"/>
  <c r="R101" i="62" s="1"/>
  <c r="H12" i="62"/>
  <c r="J94" i="62" s="1"/>
  <c r="D12" i="62"/>
  <c r="F96" i="62" s="1"/>
  <c r="D6" i="62"/>
  <c r="D4" i="62"/>
  <c r="R52" i="61"/>
  <c r="V49" i="61"/>
  <c r="Z47" i="61"/>
  <c r="X47" i="61"/>
  <c r="N47" i="61"/>
  <c r="L47" i="61"/>
  <c r="J47" i="61"/>
  <c r="R45" i="61"/>
  <c r="V43" i="61"/>
  <c r="T43" i="61"/>
  <c r="P43" i="61"/>
  <c r="H43" i="61"/>
  <c r="N43" i="61" s="1"/>
  <c r="D43" i="61"/>
  <c r="L43" i="61" s="1"/>
  <c r="X41" i="61"/>
  <c r="Z41" i="61" s="1"/>
  <c r="N41" i="61"/>
  <c r="L41" i="61"/>
  <c r="J41" i="61"/>
  <c r="B41" i="61"/>
  <c r="T40" i="61"/>
  <c r="P40" i="61"/>
  <c r="X40" i="61" s="1"/>
  <c r="H40" i="61"/>
  <c r="D40" i="61"/>
  <c r="L40" i="61" s="1"/>
  <c r="N40" i="61" s="1"/>
  <c r="B40" i="61"/>
  <c r="Z39" i="61"/>
  <c r="X39" i="61"/>
  <c r="N39" i="61"/>
  <c r="L39" i="61"/>
  <c r="J39" i="61"/>
  <c r="B39" i="61"/>
  <c r="Z38" i="61"/>
  <c r="T38" i="61"/>
  <c r="P38" i="61"/>
  <c r="X38" i="61" s="1"/>
  <c r="N38" i="61"/>
  <c r="L38" i="61"/>
  <c r="J38" i="61"/>
  <c r="H38" i="61"/>
  <c r="D38" i="61"/>
  <c r="B38" i="61"/>
  <c r="Z37" i="61"/>
  <c r="X37" i="61"/>
  <c r="V37" i="61"/>
  <c r="R37" i="61"/>
  <c r="N37" i="61"/>
  <c r="L37" i="61"/>
  <c r="B37" i="61"/>
  <c r="Z36" i="61"/>
  <c r="X36" i="61"/>
  <c r="V36" i="61"/>
  <c r="T36" i="61"/>
  <c r="P36" i="61"/>
  <c r="H36" i="61"/>
  <c r="F36" i="61"/>
  <c r="D36" i="61"/>
  <c r="B36" i="61"/>
  <c r="Z35" i="61"/>
  <c r="X35" i="61"/>
  <c r="V35" i="61"/>
  <c r="R35" i="61"/>
  <c r="L35" i="61"/>
  <c r="N35" i="61" s="1"/>
  <c r="B35" i="61"/>
  <c r="T34" i="61"/>
  <c r="R34" i="61"/>
  <c r="P34" i="61"/>
  <c r="H34" i="61"/>
  <c r="N34" i="61" s="1"/>
  <c r="D34" i="61"/>
  <c r="L34" i="61" s="1"/>
  <c r="B34" i="61"/>
  <c r="Z33" i="61"/>
  <c r="X33" i="61"/>
  <c r="N33" i="61"/>
  <c r="L33" i="61"/>
  <c r="J33" i="61"/>
  <c r="F33" i="61"/>
  <c r="B33" i="61"/>
  <c r="T32" i="61"/>
  <c r="Z32" i="61" s="1"/>
  <c r="R32" i="61"/>
  <c r="P32" i="61"/>
  <c r="X32" i="61" s="1"/>
  <c r="N32" i="61"/>
  <c r="H32" i="61"/>
  <c r="D32" i="61"/>
  <c r="L32" i="61" s="1"/>
  <c r="B32" i="61"/>
  <c r="X31" i="61"/>
  <c r="Z31" i="61" s="1"/>
  <c r="R31" i="61"/>
  <c r="N31" i="61"/>
  <c r="L31" i="61"/>
  <c r="J31" i="61"/>
  <c r="B31" i="61"/>
  <c r="Z30" i="61"/>
  <c r="X30" i="61"/>
  <c r="L30" i="61"/>
  <c r="N30" i="61" s="1"/>
  <c r="F30" i="61"/>
  <c r="B30" i="61"/>
  <c r="Z29" i="61"/>
  <c r="X29" i="61"/>
  <c r="N29" i="61"/>
  <c r="L29" i="61"/>
  <c r="J29" i="61"/>
  <c r="B29" i="61"/>
  <c r="T28" i="61"/>
  <c r="R28" i="61"/>
  <c r="P28" i="61"/>
  <c r="X28" i="61" s="1"/>
  <c r="N28" i="61"/>
  <c r="H28" i="61"/>
  <c r="D28" i="61"/>
  <c r="L28" i="61" s="1"/>
  <c r="B28" i="61"/>
  <c r="Z27" i="61"/>
  <c r="X27" i="61"/>
  <c r="R27" i="61"/>
  <c r="N27" i="61"/>
  <c r="L27" i="61"/>
  <c r="J27" i="61"/>
  <c r="B27" i="61"/>
  <c r="Z26" i="61"/>
  <c r="X26" i="61"/>
  <c r="L26" i="61"/>
  <c r="N26" i="61" s="1"/>
  <c r="F26" i="61"/>
  <c r="B26" i="61"/>
  <c r="Z25" i="61"/>
  <c r="X25" i="61"/>
  <c r="N25" i="61"/>
  <c r="L25" i="61"/>
  <c r="J25" i="61"/>
  <c r="B25" i="61"/>
  <c r="Z24" i="61"/>
  <c r="X24" i="61"/>
  <c r="R24" i="61"/>
  <c r="L24" i="61"/>
  <c r="N24" i="61" s="1"/>
  <c r="J24" i="61"/>
  <c r="B24" i="61"/>
  <c r="Z23" i="61"/>
  <c r="X23" i="61"/>
  <c r="V23" i="61"/>
  <c r="R23" i="61"/>
  <c r="N23" i="61"/>
  <c r="L23" i="61"/>
  <c r="B23" i="61"/>
  <c r="X22" i="61"/>
  <c r="Z22" i="61" s="1"/>
  <c r="R22" i="61"/>
  <c r="N22" i="61"/>
  <c r="L22" i="61"/>
  <c r="B22" i="61"/>
  <c r="Z21" i="61"/>
  <c r="X21" i="61"/>
  <c r="V21" i="61"/>
  <c r="R21" i="61"/>
  <c r="N21" i="61"/>
  <c r="L21" i="61"/>
  <c r="B21" i="61"/>
  <c r="X20" i="61"/>
  <c r="Z20" i="61" s="1"/>
  <c r="V20" i="61"/>
  <c r="R20" i="61"/>
  <c r="N20" i="61"/>
  <c r="L20" i="61"/>
  <c r="B20" i="61"/>
  <c r="X19" i="61"/>
  <c r="Z19" i="61" s="1"/>
  <c r="T19" i="61"/>
  <c r="P19" i="61"/>
  <c r="J19" i="61"/>
  <c r="H19" i="61"/>
  <c r="D19" i="61"/>
  <c r="B19" i="61"/>
  <c r="V18" i="61"/>
  <c r="T18" i="61"/>
  <c r="R18" i="61"/>
  <c r="P18" i="61"/>
  <c r="H18" i="61"/>
  <c r="D18" i="61"/>
  <c r="L18" i="61" s="1"/>
  <c r="P16" i="61"/>
  <c r="J16" i="61"/>
  <c r="V14" i="61"/>
  <c r="T14" i="61"/>
  <c r="R14" i="61"/>
  <c r="P14" i="61"/>
  <c r="H14" i="61"/>
  <c r="H16" i="61" s="1"/>
  <c r="D14" i="61"/>
  <c r="L14" i="61" s="1"/>
  <c r="Z12" i="61"/>
  <c r="X12" i="61"/>
  <c r="T12" i="61"/>
  <c r="V39" i="61" s="1"/>
  <c r="P12" i="61"/>
  <c r="R49" i="61" s="1"/>
  <c r="H12" i="61"/>
  <c r="J52" i="61" s="1"/>
  <c r="D12" i="61"/>
  <c r="F25" i="61" s="1"/>
  <c r="D6" i="61"/>
  <c r="D4" i="61"/>
  <c r="V50" i="60"/>
  <c r="Z48" i="60"/>
  <c r="X48" i="60"/>
  <c r="N48" i="60"/>
  <c r="L48" i="60"/>
  <c r="X44" i="60"/>
  <c r="V44" i="60"/>
  <c r="T44" i="60"/>
  <c r="Z44" i="60" s="1"/>
  <c r="P44" i="60"/>
  <c r="H44" i="60"/>
  <c r="D44" i="60"/>
  <c r="Z42" i="60"/>
  <c r="X42" i="60"/>
  <c r="L42" i="60"/>
  <c r="N42" i="60" s="1"/>
  <c r="B42" i="60"/>
  <c r="V41" i="60"/>
  <c r="T41" i="60"/>
  <c r="P41" i="60"/>
  <c r="X41" i="60" s="1"/>
  <c r="H41" i="60"/>
  <c r="D41" i="60"/>
  <c r="L41" i="60" s="1"/>
  <c r="N41" i="60" s="1"/>
  <c r="B41" i="60"/>
  <c r="Z40" i="60"/>
  <c r="X40" i="60"/>
  <c r="N40" i="60"/>
  <c r="L40" i="60"/>
  <c r="B40" i="60"/>
  <c r="Z39" i="60"/>
  <c r="X39" i="60"/>
  <c r="N39" i="60"/>
  <c r="L39" i="60"/>
  <c r="B39" i="60"/>
  <c r="Z38" i="60"/>
  <c r="X38" i="60"/>
  <c r="N38" i="60"/>
  <c r="L38" i="60"/>
  <c r="B38" i="60"/>
  <c r="V37" i="60"/>
  <c r="T37" i="60"/>
  <c r="Z37" i="60" s="1"/>
  <c r="P37" i="60"/>
  <c r="X37" i="60" s="1"/>
  <c r="N37" i="60"/>
  <c r="H37" i="60"/>
  <c r="D37" i="60"/>
  <c r="L37" i="60" s="1"/>
  <c r="B37" i="60"/>
  <c r="Z36" i="60"/>
  <c r="X36" i="60"/>
  <c r="N36" i="60"/>
  <c r="L36" i="60"/>
  <c r="F36" i="60"/>
  <c r="B36" i="60"/>
  <c r="Z35" i="60"/>
  <c r="X35" i="60"/>
  <c r="N35" i="60"/>
  <c r="L35" i="60"/>
  <c r="F35" i="60"/>
  <c r="B35" i="60"/>
  <c r="T34" i="60"/>
  <c r="P34" i="60"/>
  <c r="X34" i="60" s="1"/>
  <c r="H34" i="60"/>
  <c r="D34" i="60"/>
  <c r="L34" i="60" s="1"/>
  <c r="N34" i="60" s="1"/>
  <c r="B34" i="60"/>
  <c r="X33" i="60"/>
  <c r="Z33" i="60" s="1"/>
  <c r="V33" i="60"/>
  <c r="N33" i="60"/>
  <c r="L33" i="60"/>
  <c r="B33" i="60"/>
  <c r="V32" i="60"/>
  <c r="T32" i="60"/>
  <c r="P32" i="60"/>
  <c r="X32" i="60" s="1"/>
  <c r="Z32" i="60" s="1"/>
  <c r="L32" i="60"/>
  <c r="H32" i="60"/>
  <c r="D32" i="60"/>
  <c r="B32" i="60"/>
  <c r="Z31" i="60"/>
  <c r="X31" i="60"/>
  <c r="V31" i="60"/>
  <c r="N31" i="60"/>
  <c r="L31" i="60"/>
  <c r="B31" i="60"/>
  <c r="X30" i="60"/>
  <c r="V30" i="60"/>
  <c r="T30" i="60"/>
  <c r="Z30" i="60" s="1"/>
  <c r="P30" i="60"/>
  <c r="L30" i="60"/>
  <c r="H30" i="60"/>
  <c r="D30" i="60"/>
  <c r="B30" i="60"/>
  <c r="Z29" i="60"/>
  <c r="X29" i="60"/>
  <c r="V29" i="60"/>
  <c r="N29" i="60"/>
  <c r="L29" i="60"/>
  <c r="B29" i="60"/>
  <c r="V28" i="60"/>
  <c r="T28" i="60"/>
  <c r="R28" i="60"/>
  <c r="P28" i="60"/>
  <c r="H28" i="60"/>
  <c r="D28" i="60"/>
  <c r="B28" i="60"/>
  <c r="Z27" i="60"/>
  <c r="X27" i="60"/>
  <c r="N27" i="60"/>
  <c r="L27" i="60"/>
  <c r="B27" i="60"/>
  <c r="Z26" i="60"/>
  <c r="X26" i="60"/>
  <c r="L26" i="60"/>
  <c r="N26" i="60" s="1"/>
  <c r="J26" i="60"/>
  <c r="B26" i="60"/>
  <c r="Z25" i="60"/>
  <c r="X25" i="60"/>
  <c r="V25" i="60"/>
  <c r="N25" i="60"/>
  <c r="L25" i="60"/>
  <c r="B25" i="60"/>
  <c r="X24" i="60"/>
  <c r="Z24" i="60" s="1"/>
  <c r="V24" i="60"/>
  <c r="N24" i="60"/>
  <c r="L24" i="60"/>
  <c r="B24" i="60"/>
  <c r="Z23" i="60"/>
  <c r="X23" i="60"/>
  <c r="V23" i="60"/>
  <c r="N23" i="60"/>
  <c r="L23" i="60"/>
  <c r="B23" i="60"/>
  <c r="X22" i="60"/>
  <c r="Z22" i="60" s="1"/>
  <c r="V22" i="60"/>
  <c r="N22" i="60"/>
  <c r="L22" i="60"/>
  <c r="B22" i="60"/>
  <c r="X21" i="60"/>
  <c r="Z21" i="60" s="1"/>
  <c r="V21" i="60"/>
  <c r="N21" i="60"/>
  <c r="L21" i="60"/>
  <c r="J21" i="60"/>
  <c r="B21" i="60"/>
  <c r="Z20" i="60"/>
  <c r="X20" i="60"/>
  <c r="V20" i="60"/>
  <c r="L20" i="60"/>
  <c r="N20" i="60" s="1"/>
  <c r="B20" i="60"/>
  <c r="T19" i="60"/>
  <c r="P19" i="60"/>
  <c r="X19" i="60" s="1"/>
  <c r="Z19" i="60" s="1"/>
  <c r="L19" i="60"/>
  <c r="N19" i="60" s="1"/>
  <c r="H19" i="60"/>
  <c r="D19" i="60"/>
  <c r="B19" i="60"/>
  <c r="X18" i="60"/>
  <c r="V18" i="60"/>
  <c r="T18" i="60"/>
  <c r="P18" i="60"/>
  <c r="H18" i="60"/>
  <c r="D18" i="60"/>
  <c r="L18" i="60" s="1"/>
  <c r="T16" i="60"/>
  <c r="V14" i="60"/>
  <c r="T14" i="60"/>
  <c r="Z14" i="60" s="1"/>
  <c r="P14" i="60"/>
  <c r="H14" i="60"/>
  <c r="N14" i="60" s="1"/>
  <c r="D14" i="60"/>
  <c r="L14" i="60" s="1"/>
  <c r="Z12" i="60"/>
  <c r="T12" i="60"/>
  <c r="V40" i="60" s="1"/>
  <c r="P12" i="60"/>
  <c r="L12" i="60"/>
  <c r="H12" i="60"/>
  <c r="J32" i="60" s="1"/>
  <c r="D12" i="60"/>
  <c r="F40" i="60" s="1"/>
  <c r="D6" i="60"/>
  <c r="D4" i="60"/>
  <c r="R63" i="59"/>
  <c r="J60" i="59"/>
  <c r="H60" i="59"/>
  <c r="Z58" i="59"/>
  <c r="X58" i="59"/>
  <c r="N58" i="59"/>
  <c r="L58" i="59"/>
  <c r="R56" i="59"/>
  <c r="Z54" i="59"/>
  <c r="T54" i="59"/>
  <c r="P54" i="59"/>
  <c r="X54" i="59" s="1"/>
  <c r="L54" i="59"/>
  <c r="H54" i="59"/>
  <c r="N54" i="59" s="1"/>
  <c r="D54" i="59"/>
  <c r="Z52" i="59"/>
  <c r="X52" i="59"/>
  <c r="N52" i="59"/>
  <c r="L52" i="59"/>
  <c r="B52" i="59"/>
  <c r="Z51" i="59"/>
  <c r="T51" i="59"/>
  <c r="X51" i="59" s="1"/>
  <c r="P51" i="59"/>
  <c r="J51" i="59"/>
  <c r="H51" i="59"/>
  <c r="N51" i="59" s="1"/>
  <c r="D51" i="59"/>
  <c r="L51" i="59" s="1"/>
  <c r="B51" i="59"/>
  <c r="Z50" i="59"/>
  <c r="X50" i="59"/>
  <c r="N50" i="59"/>
  <c r="L50" i="59"/>
  <c r="B50" i="59"/>
  <c r="T49" i="59"/>
  <c r="P49" i="59"/>
  <c r="X49" i="59" s="1"/>
  <c r="N49" i="59"/>
  <c r="H49" i="59"/>
  <c r="D49" i="59"/>
  <c r="L49" i="59" s="1"/>
  <c r="B49" i="59"/>
  <c r="X48" i="59"/>
  <c r="Z48" i="59" s="1"/>
  <c r="L48" i="59"/>
  <c r="N48" i="59" s="1"/>
  <c r="B48" i="59"/>
  <c r="Z47" i="59"/>
  <c r="X47" i="59"/>
  <c r="L47" i="59"/>
  <c r="N47" i="59" s="1"/>
  <c r="B47" i="59"/>
  <c r="T46" i="59"/>
  <c r="Z46" i="59" s="1"/>
  <c r="P46" i="59"/>
  <c r="X46" i="59" s="1"/>
  <c r="H46" i="59"/>
  <c r="D46" i="59"/>
  <c r="L46" i="59" s="1"/>
  <c r="N46" i="59" s="1"/>
  <c r="B46" i="59"/>
  <c r="X45" i="59"/>
  <c r="Z45" i="59" s="1"/>
  <c r="V45" i="59"/>
  <c r="L45" i="59"/>
  <c r="N45" i="59" s="1"/>
  <c r="B45" i="59"/>
  <c r="X44" i="59"/>
  <c r="Z44" i="59" s="1"/>
  <c r="V44" i="59"/>
  <c r="T44" i="59"/>
  <c r="P44" i="59"/>
  <c r="L44" i="59"/>
  <c r="N44" i="59" s="1"/>
  <c r="H44" i="59"/>
  <c r="F44" i="59"/>
  <c r="D44" i="59"/>
  <c r="B44" i="59"/>
  <c r="Z43" i="59"/>
  <c r="X43" i="59"/>
  <c r="R43" i="59"/>
  <c r="N43" i="59"/>
  <c r="L43" i="59"/>
  <c r="B43" i="59"/>
  <c r="X42" i="59"/>
  <c r="Z42" i="59" s="1"/>
  <c r="N42" i="59"/>
  <c r="L42" i="59"/>
  <c r="F42" i="59"/>
  <c r="B42" i="59"/>
  <c r="Z41" i="59"/>
  <c r="X41" i="59"/>
  <c r="N41" i="59"/>
  <c r="L41" i="59"/>
  <c r="J41" i="59"/>
  <c r="F41" i="59"/>
  <c r="B41" i="59"/>
  <c r="Z40" i="59"/>
  <c r="X40" i="59"/>
  <c r="N40" i="59"/>
  <c r="L40" i="59"/>
  <c r="J40" i="59"/>
  <c r="F40" i="59"/>
  <c r="B40" i="59"/>
  <c r="Z39" i="59"/>
  <c r="X39" i="59"/>
  <c r="T39" i="59"/>
  <c r="R39" i="59"/>
  <c r="P39" i="59"/>
  <c r="L39" i="59"/>
  <c r="N39" i="59" s="1"/>
  <c r="H39" i="59"/>
  <c r="D39" i="59"/>
  <c r="B39" i="59"/>
  <c r="Z38" i="59"/>
  <c r="X38" i="59"/>
  <c r="R38" i="59"/>
  <c r="N38" i="59"/>
  <c r="L38" i="59"/>
  <c r="B38" i="59"/>
  <c r="T37" i="59"/>
  <c r="P37" i="59"/>
  <c r="H37" i="59"/>
  <c r="D37" i="59"/>
  <c r="L37" i="59" s="1"/>
  <c r="B37" i="59"/>
  <c r="X36" i="59"/>
  <c r="Z36" i="59" s="1"/>
  <c r="N36" i="59"/>
  <c r="L36" i="59"/>
  <c r="J36" i="59"/>
  <c r="B36" i="59"/>
  <c r="X35" i="59"/>
  <c r="T35" i="59"/>
  <c r="Z35" i="59" s="1"/>
  <c r="R35" i="59"/>
  <c r="P35" i="59"/>
  <c r="N35" i="59"/>
  <c r="L35" i="59"/>
  <c r="H35" i="59"/>
  <c r="D35" i="59"/>
  <c r="B35" i="59"/>
  <c r="X34" i="59"/>
  <c r="Z34" i="59" s="1"/>
  <c r="V34" i="59"/>
  <c r="N34" i="59"/>
  <c r="L34" i="59"/>
  <c r="B34" i="59"/>
  <c r="X33" i="59"/>
  <c r="Z33" i="59" s="1"/>
  <c r="T33" i="59"/>
  <c r="P33" i="59"/>
  <c r="J33" i="59"/>
  <c r="H33" i="59"/>
  <c r="D33" i="59"/>
  <c r="L33" i="59" s="1"/>
  <c r="B33" i="59"/>
  <c r="Z32" i="59"/>
  <c r="X32" i="59"/>
  <c r="R32" i="59"/>
  <c r="N32" i="59"/>
  <c r="L32" i="59"/>
  <c r="B32" i="59"/>
  <c r="Z31" i="59"/>
  <c r="X31" i="59"/>
  <c r="R31" i="59"/>
  <c r="N31" i="59"/>
  <c r="L31" i="59"/>
  <c r="B31" i="59"/>
  <c r="X30" i="59"/>
  <c r="Z30" i="59" s="1"/>
  <c r="V30" i="59"/>
  <c r="N30" i="59"/>
  <c r="L30" i="59"/>
  <c r="B30" i="59"/>
  <c r="X29" i="59"/>
  <c r="Z29" i="59" s="1"/>
  <c r="T29" i="59"/>
  <c r="P29" i="59"/>
  <c r="J29" i="59"/>
  <c r="H29" i="59"/>
  <c r="D29" i="59"/>
  <c r="L29" i="59" s="1"/>
  <c r="B29" i="59"/>
  <c r="X28" i="59"/>
  <c r="Z28" i="59" s="1"/>
  <c r="R28" i="59"/>
  <c r="N28" i="59"/>
  <c r="L28" i="59"/>
  <c r="B28" i="59"/>
  <c r="Z27" i="59"/>
  <c r="X27" i="59"/>
  <c r="R27" i="59"/>
  <c r="L27" i="59"/>
  <c r="N27" i="59" s="1"/>
  <c r="B27" i="59"/>
  <c r="X26" i="59"/>
  <c r="Z26" i="59" s="1"/>
  <c r="V26" i="59"/>
  <c r="N26" i="59"/>
  <c r="L26" i="59"/>
  <c r="B26" i="59"/>
  <c r="X25" i="59"/>
  <c r="Z25" i="59" s="1"/>
  <c r="R25" i="59"/>
  <c r="N25" i="59"/>
  <c r="L25" i="59"/>
  <c r="J25" i="59"/>
  <c r="B25" i="59"/>
  <c r="Z24" i="59"/>
  <c r="X24" i="59"/>
  <c r="L24" i="59"/>
  <c r="N24" i="59" s="1"/>
  <c r="F24" i="59"/>
  <c r="B24" i="59"/>
  <c r="X23" i="59"/>
  <c r="Z23" i="59" s="1"/>
  <c r="R23" i="59"/>
  <c r="N23" i="59"/>
  <c r="L23" i="59"/>
  <c r="J23" i="59"/>
  <c r="F23" i="59"/>
  <c r="B23" i="59"/>
  <c r="Z22" i="59"/>
  <c r="X22" i="59"/>
  <c r="R22" i="59"/>
  <c r="L22" i="59"/>
  <c r="N22" i="59" s="1"/>
  <c r="J22" i="59"/>
  <c r="B22" i="59"/>
  <c r="X21" i="59"/>
  <c r="Z21" i="59" s="1"/>
  <c r="L21" i="59"/>
  <c r="N21" i="59" s="1"/>
  <c r="B21" i="59"/>
  <c r="X20" i="59"/>
  <c r="Z20" i="59" s="1"/>
  <c r="R20" i="59"/>
  <c r="N20" i="59"/>
  <c r="L20" i="59"/>
  <c r="J20" i="59"/>
  <c r="B20" i="59"/>
  <c r="T19" i="59"/>
  <c r="P19" i="59"/>
  <c r="X19" i="59" s="1"/>
  <c r="J19" i="59"/>
  <c r="H19" i="59"/>
  <c r="F19" i="59"/>
  <c r="D19" i="59"/>
  <c r="L19" i="59" s="1"/>
  <c r="N19" i="59" s="1"/>
  <c r="B19" i="59"/>
  <c r="T18" i="59"/>
  <c r="P18" i="59"/>
  <c r="X18" i="59" s="1"/>
  <c r="J18" i="59"/>
  <c r="H18" i="59"/>
  <c r="D18" i="59"/>
  <c r="L18" i="59" s="1"/>
  <c r="N18" i="59" s="1"/>
  <c r="V16" i="59"/>
  <c r="R16" i="59"/>
  <c r="H16" i="59"/>
  <c r="H56" i="59" s="1"/>
  <c r="F16" i="59"/>
  <c r="T14" i="59"/>
  <c r="Z14" i="59" s="1"/>
  <c r="P14" i="59"/>
  <c r="P16" i="59" s="1"/>
  <c r="N14" i="59"/>
  <c r="J14" i="59"/>
  <c r="H14" i="59"/>
  <c r="D14" i="59"/>
  <c r="L14" i="59" s="1"/>
  <c r="T12" i="59"/>
  <c r="P12" i="59"/>
  <c r="R58" i="59" s="1"/>
  <c r="N12" i="59"/>
  <c r="H12" i="59"/>
  <c r="J44" i="59" s="1"/>
  <c r="D12" i="59"/>
  <c r="F37" i="59" s="1"/>
  <c r="D6" i="59"/>
  <c r="D4" i="59"/>
  <c r="R72" i="58"/>
  <c r="Z70" i="58"/>
  <c r="X70" i="58"/>
  <c r="N70" i="58"/>
  <c r="L70" i="58"/>
  <c r="F70" i="58"/>
  <c r="T66" i="58"/>
  <c r="Z66" i="58" s="1"/>
  <c r="R66" i="58"/>
  <c r="P66" i="58"/>
  <c r="H66" i="58"/>
  <c r="N66" i="58" s="1"/>
  <c r="D66" i="58"/>
  <c r="L66" i="58" s="1"/>
  <c r="Z64" i="58"/>
  <c r="X64" i="58"/>
  <c r="N64" i="58"/>
  <c r="L64" i="58"/>
  <c r="F64" i="58"/>
  <c r="B64" i="58"/>
  <c r="X63" i="58"/>
  <c r="T63" i="58"/>
  <c r="Z63" i="58" s="1"/>
  <c r="P63" i="58"/>
  <c r="N63" i="58"/>
  <c r="L63" i="58"/>
  <c r="H63" i="58"/>
  <c r="D63" i="58"/>
  <c r="B63" i="58"/>
  <c r="X62" i="58"/>
  <c r="Z62" i="58" s="1"/>
  <c r="V62" i="58"/>
  <c r="N62" i="58"/>
  <c r="L62" i="58"/>
  <c r="B62" i="58"/>
  <c r="X61" i="58"/>
  <c r="Z61" i="58" s="1"/>
  <c r="T61" i="58"/>
  <c r="P61" i="58"/>
  <c r="H61" i="58"/>
  <c r="N61" i="58" s="1"/>
  <c r="D61" i="58"/>
  <c r="L61" i="58" s="1"/>
  <c r="B61" i="58"/>
  <c r="X60" i="58"/>
  <c r="Z60" i="58" s="1"/>
  <c r="R60" i="58"/>
  <c r="N60" i="58"/>
  <c r="L60" i="58"/>
  <c r="B60" i="58"/>
  <c r="V59" i="58"/>
  <c r="T59" i="58"/>
  <c r="P59" i="58"/>
  <c r="H59" i="58"/>
  <c r="F59" i="58"/>
  <c r="D59" i="58"/>
  <c r="L59" i="58" s="1"/>
  <c r="N59" i="58" s="1"/>
  <c r="B59" i="58"/>
  <c r="Z58" i="58"/>
  <c r="X58" i="58"/>
  <c r="N58" i="58"/>
  <c r="L58" i="58"/>
  <c r="B58" i="58"/>
  <c r="X57" i="58"/>
  <c r="Z57" i="58" s="1"/>
  <c r="N57" i="58"/>
  <c r="L57" i="58"/>
  <c r="B57" i="58"/>
  <c r="X56" i="58"/>
  <c r="Z56" i="58" s="1"/>
  <c r="R56" i="58"/>
  <c r="N56" i="58"/>
  <c r="L56" i="58"/>
  <c r="B56" i="58"/>
  <c r="Z55" i="58"/>
  <c r="X55" i="58"/>
  <c r="V55" i="58"/>
  <c r="R55" i="58"/>
  <c r="N55" i="58"/>
  <c r="L55" i="58"/>
  <c r="B55" i="58"/>
  <c r="X54" i="58"/>
  <c r="V54" i="58"/>
  <c r="T54" i="58"/>
  <c r="Z54" i="58" s="1"/>
  <c r="P54" i="58"/>
  <c r="H54" i="58"/>
  <c r="F54" i="58"/>
  <c r="D54" i="58"/>
  <c r="B54" i="58"/>
  <c r="X53" i="58"/>
  <c r="Z53" i="58" s="1"/>
  <c r="N53" i="58"/>
  <c r="L53" i="58"/>
  <c r="B53" i="58"/>
  <c r="T52" i="58"/>
  <c r="R52" i="58"/>
  <c r="P52" i="58"/>
  <c r="H52" i="58"/>
  <c r="N52" i="58" s="1"/>
  <c r="D52" i="58"/>
  <c r="L52" i="58" s="1"/>
  <c r="B52" i="58"/>
  <c r="X51" i="58"/>
  <c r="Z51" i="58" s="1"/>
  <c r="N51" i="58"/>
  <c r="L51" i="58"/>
  <c r="F51" i="58"/>
  <c r="B51" i="58"/>
  <c r="Z50" i="58"/>
  <c r="X50" i="58"/>
  <c r="L50" i="58"/>
  <c r="N50" i="58" s="1"/>
  <c r="J50" i="58"/>
  <c r="B50" i="58"/>
  <c r="T49" i="58"/>
  <c r="R49" i="58"/>
  <c r="P49" i="58"/>
  <c r="X49" i="58" s="1"/>
  <c r="Z49" i="58" s="1"/>
  <c r="L49" i="58"/>
  <c r="H49" i="58"/>
  <c r="N49" i="58" s="1"/>
  <c r="D49" i="58"/>
  <c r="B49" i="58"/>
  <c r="Z48" i="58"/>
  <c r="X48" i="58"/>
  <c r="L48" i="58"/>
  <c r="N48" i="58" s="1"/>
  <c r="F48" i="58"/>
  <c r="B48" i="58"/>
  <c r="X47" i="58"/>
  <c r="Z47" i="58" s="1"/>
  <c r="N47" i="58"/>
  <c r="L47" i="58"/>
  <c r="F47" i="58"/>
  <c r="B47" i="58"/>
  <c r="T46" i="58"/>
  <c r="P46" i="58"/>
  <c r="X46" i="58" s="1"/>
  <c r="H46" i="58"/>
  <c r="D46" i="58"/>
  <c r="L46" i="58" s="1"/>
  <c r="N46" i="58" s="1"/>
  <c r="B46" i="58"/>
  <c r="X45" i="58"/>
  <c r="Z45" i="58" s="1"/>
  <c r="L45" i="58"/>
  <c r="N45" i="58" s="1"/>
  <c r="B45" i="58"/>
  <c r="Z44" i="58"/>
  <c r="T44" i="58"/>
  <c r="P44" i="58"/>
  <c r="X44" i="58" s="1"/>
  <c r="L44" i="58"/>
  <c r="J44" i="58"/>
  <c r="H44" i="58"/>
  <c r="N44" i="58" s="1"/>
  <c r="D44" i="58"/>
  <c r="B44" i="58"/>
  <c r="Z43" i="58"/>
  <c r="X43" i="58"/>
  <c r="V43" i="58"/>
  <c r="R43" i="58"/>
  <c r="L43" i="58"/>
  <c r="N43" i="58" s="1"/>
  <c r="B43" i="58"/>
  <c r="X42" i="58"/>
  <c r="V42" i="58"/>
  <c r="T42" i="58"/>
  <c r="Z42" i="58" s="1"/>
  <c r="P42" i="58"/>
  <c r="H42" i="58"/>
  <c r="F42" i="58"/>
  <c r="D42" i="58"/>
  <c r="B42" i="58"/>
  <c r="Z41" i="58"/>
  <c r="X41" i="58"/>
  <c r="V41" i="58"/>
  <c r="L41" i="58"/>
  <c r="N41" i="58" s="1"/>
  <c r="B41" i="58"/>
  <c r="T40" i="58"/>
  <c r="R40" i="58"/>
  <c r="P40" i="58"/>
  <c r="H40" i="58"/>
  <c r="N40" i="58" s="1"/>
  <c r="D40" i="58"/>
  <c r="L40" i="58" s="1"/>
  <c r="B40" i="58"/>
  <c r="X39" i="58"/>
  <c r="Z39" i="58" s="1"/>
  <c r="N39" i="58"/>
  <c r="L39" i="58"/>
  <c r="F39" i="58"/>
  <c r="B39" i="58"/>
  <c r="T38" i="58"/>
  <c r="Z38" i="58" s="1"/>
  <c r="P38" i="58"/>
  <c r="X38" i="58" s="1"/>
  <c r="N38" i="58"/>
  <c r="H38" i="58"/>
  <c r="D38" i="58"/>
  <c r="L38" i="58" s="1"/>
  <c r="B38" i="58"/>
  <c r="Z37" i="58"/>
  <c r="X37" i="58"/>
  <c r="N37" i="58"/>
  <c r="L37" i="58"/>
  <c r="B37" i="58"/>
  <c r="Z36" i="58"/>
  <c r="T36" i="58"/>
  <c r="P36" i="58"/>
  <c r="X36" i="58" s="1"/>
  <c r="L36" i="58"/>
  <c r="H36" i="58"/>
  <c r="N36" i="58" s="1"/>
  <c r="D36" i="58"/>
  <c r="B36" i="58"/>
  <c r="Z35" i="58"/>
  <c r="X35" i="58"/>
  <c r="V35" i="58"/>
  <c r="R35" i="58"/>
  <c r="L35" i="58"/>
  <c r="N35" i="58" s="1"/>
  <c r="B35" i="58"/>
  <c r="X34" i="58"/>
  <c r="Z34" i="58" s="1"/>
  <c r="V34" i="58"/>
  <c r="N34" i="58"/>
  <c r="L34" i="58"/>
  <c r="F34" i="58"/>
  <c r="B34" i="58"/>
  <c r="X33" i="58"/>
  <c r="Z33" i="58" s="1"/>
  <c r="N33" i="58"/>
  <c r="L33" i="58"/>
  <c r="B33" i="58"/>
  <c r="Z32" i="58"/>
  <c r="X32" i="58"/>
  <c r="N32" i="58"/>
  <c r="L32" i="58"/>
  <c r="F32" i="58"/>
  <c r="B32" i="58"/>
  <c r="X31" i="58"/>
  <c r="Z31" i="58" s="1"/>
  <c r="N31" i="58"/>
  <c r="L31" i="58"/>
  <c r="F31" i="58"/>
  <c r="B31" i="58"/>
  <c r="T30" i="58"/>
  <c r="Z30" i="58" s="1"/>
  <c r="P30" i="58"/>
  <c r="X30" i="58" s="1"/>
  <c r="N30" i="58"/>
  <c r="H30" i="58"/>
  <c r="D30" i="58"/>
  <c r="L30" i="58" s="1"/>
  <c r="B30" i="58"/>
  <c r="X29" i="58"/>
  <c r="Z29" i="58" s="1"/>
  <c r="N29" i="58"/>
  <c r="L29" i="58"/>
  <c r="B29" i="58"/>
  <c r="Z28" i="58"/>
  <c r="X28" i="58"/>
  <c r="V28" i="58"/>
  <c r="L28" i="58"/>
  <c r="N28" i="58" s="1"/>
  <c r="F28" i="58"/>
  <c r="B28" i="58"/>
  <c r="X27" i="58"/>
  <c r="Z27" i="58" s="1"/>
  <c r="N27" i="58"/>
  <c r="L27" i="58"/>
  <c r="F27" i="58"/>
  <c r="B27" i="58"/>
  <c r="Z26" i="58"/>
  <c r="X26" i="58"/>
  <c r="L26" i="58"/>
  <c r="N26" i="58" s="1"/>
  <c r="J26" i="58"/>
  <c r="B26" i="58"/>
  <c r="Z25" i="58"/>
  <c r="X25" i="58"/>
  <c r="V25" i="58"/>
  <c r="N25" i="58"/>
  <c r="L25" i="58"/>
  <c r="B25" i="58"/>
  <c r="X24" i="58"/>
  <c r="Z24" i="58" s="1"/>
  <c r="R24" i="58"/>
  <c r="N24" i="58"/>
  <c r="L24" i="58"/>
  <c r="B24" i="58"/>
  <c r="Z23" i="58"/>
  <c r="X23" i="58"/>
  <c r="V23" i="58"/>
  <c r="R23" i="58"/>
  <c r="L23" i="58"/>
  <c r="N23" i="58" s="1"/>
  <c r="B23" i="58"/>
  <c r="X22" i="58"/>
  <c r="Z22" i="58" s="1"/>
  <c r="V22" i="58"/>
  <c r="N22" i="58"/>
  <c r="L22" i="58"/>
  <c r="F22" i="58"/>
  <c r="B22" i="58"/>
  <c r="X21" i="58"/>
  <c r="Z21" i="58" s="1"/>
  <c r="N21" i="58"/>
  <c r="L21" i="58"/>
  <c r="B21" i="58"/>
  <c r="Z20" i="58"/>
  <c r="X20" i="58"/>
  <c r="V20" i="58"/>
  <c r="L20" i="58"/>
  <c r="N20" i="58" s="1"/>
  <c r="F20" i="58"/>
  <c r="B20" i="58"/>
  <c r="X19" i="58"/>
  <c r="Z19" i="58" s="1"/>
  <c r="T19" i="58"/>
  <c r="P19" i="58"/>
  <c r="L19" i="58"/>
  <c r="N19" i="58" s="1"/>
  <c r="H19" i="58"/>
  <c r="D19" i="58"/>
  <c r="B19" i="58"/>
  <c r="X18" i="58"/>
  <c r="V18" i="58"/>
  <c r="T18" i="58"/>
  <c r="Z18" i="58" s="1"/>
  <c r="P18" i="58"/>
  <c r="H18" i="58"/>
  <c r="F18" i="58"/>
  <c r="D18" i="58"/>
  <c r="T16" i="58"/>
  <c r="Z16" i="58" s="1"/>
  <c r="P16" i="58"/>
  <c r="X16" i="58" s="1"/>
  <c r="D16" i="58"/>
  <c r="X14" i="58"/>
  <c r="V14" i="58"/>
  <c r="T14" i="58"/>
  <c r="Z14" i="58" s="1"/>
  <c r="P14" i="58"/>
  <c r="H14" i="58"/>
  <c r="N14" i="58" s="1"/>
  <c r="F14" i="58"/>
  <c r="D14" i="58"/>
  <c r="Z12" i="58"/>
  <c r="T12" i="58"/>
  <c r="V61" i="58" s="1"/>
  <c r="P12" i="58"/>
  <c r="R62" i="58" s="1"/>
  <c r="H12" i="58"/>
  <c r="J36" i="58" s="1"/>
  <c r="D12" i="58"/>
  <c r="F61" i="58" s="1"/>
  <c r="D6" i="58"/>
  <c r="D4" i="58"/>
  <c r="R68" i="57"/>
  <c r="J65" i="57"/>
  <c r="Z63" i="57"/>
  <c r="X63" i="57"/>
  <c r="R63" i="57"/>
  <c r="N63" i="57"/>
  <c r="L63" i="57"/>
  <c r="R61" i="57"/>
  <c r="Z59" i="57"/>
  <c r="T59" i="57"/>
  <c r="P59" i="57"/>
  <c r="X59" i="57" s="1"/>
  <c r="L59" i="57"/>
  <c r="J59" i="57"/>
  <c r="H59" i="57"/>
  <c r="N59" i="57" s="1"/>
  <c r="D59" i="57"/>
  <c r="X57" i="57"/>
  <c r="Z57" i="57" s="1"/>
  <c r="R57" i="57"/>
  <c r="N57" i="57"/>
  <c r="L57" i="57"/>
  <c r="B57" i="57"/>
  <c r="V56" i="57"/>
  <c r="T56" i="57"/>
  <c r="P56" i="57"/>
  <c r="X56" i="57" s="1"/>
  <c r="H56" i="57"/>
  <c r="F56" i="57"/>
  <c r="D56" i="57"/>
  <c r="L56" i="57" s="1"/>
  <c r="N56" i="57" s="1"/>
  <c r="B56" i="57"/>
  <c r="Z55" i="57"/>
  <c r="X55" i="57"/>
  <c r="N55" i="57"/>
  <c r="L55" i="57"/>
  <c r="J55" i="57"/>
  <c r="B55" i="57"/>
  <c r="T54" i="57"/>
  <c r="R54" i="57"/>
  <c r="P54" i="57"/>
  <c r="X54" i="57" s="1"/>
  <c r="Z54" i="57" s="1"/>
  <c r="N54" i="57"/>
  <c r="L54" i="57"/>
  <c r="H54" i="57"/>
  <c r="D54" i="57"/>
  <c r="B54" i="57"/>
  <c r="Z53" i="57"/>
  <c r="X53" i="57"/>
  <c r="L53" i="57"/>
  <c r="N53" i="57" s="1"/>
  <c r="F53" i="57"/>
  <c r="B53" i="57"/>
  <c r="Z52" i="57"/>
  <c r="X52" i="57"/>
  <c r="T52" i="57"/>
  <c r="P52" i="57"/>
  <c r="L52" i="57"/>
  <c r="N52" i="57" s="1"/>
  <c r="H52" i="57"/>
  <c r="D52" i="57"/>
  <c r="B52" i="57"/>
  <c r="X51" i="57"/>
  <c r="Z51" i="57" s="1"/>
  <c r="V51" i="57"/>
  <c r="N51" i="57"/>
  <c r="L51" i="57"/>
  <c r="B51" i="57"/>
  <c r="X50" i="57"/>
  <c r="Z50" i="57" s="1"/>
  <c r="N50" i="57"/>
  <c r="L50" i="57"/>
  <c r="B50" i="57"/>
  <c r="Z49" i="57"/>
  <c r="T49" i="57"/>
  <c r="P49" i="57"/>
  <c r="X49" i="57" s="1"/>
  <c r="L49" i="57"/>
  <c r="J49" i="57"/>
  <c r="H49" i="57"/>
  <c r="N49" i="57" s="1"/>
  <c r="D49" i="57"/>
  <c r="B49" i="57"/>
  <c r="Z48" i="57"/>
  <c r="X48" i="57"/>
  <c r="V48" i="57"/>
  <c r="R48" i="57"/>
  <c r="N48" i="57"/>
  <c r="L48" i="57"/>
  <c r="B48" i="57"/>
  <c r="X47" i="57"/>
  <c r="V47" i="57"/>
  <c r="T47" i="57"/>
  <c r="Z47" i="57" s="1"/>
  <c r="P47" i="57"/>
  <c r="H47" i="57"/>
  <c r="F47" i="57"/>
  <c r="D47" i="57"/>
  <c r="B47" i="57"/>
  <c r="Z46" i="57"/>
  <c r="X46" i="57"/>
  <c r="N46" i="57"/>
  <c r="L46" i="57"/>
  <c r="B46" i="57"/>
  <c r="X45" i="57"/>
  <c r="Z45" i="57" s="1"/>
  <c r="R45" i="57"/>
  <c r="N45" i="57"/>
  <c r="L45" i="57"/>
  <c r="B45" i="57"/>
  <c r="Z44" i="57"/>
  <c r="X44" i="57"/>
  <c r="V44" i="57"/>
  <c r="R44" i="57"/>
  <c r="N44" i="57"/>
  <c r="L44" i="57"/>
  <c r="B44" i="57"/>
  <c r="X43" i="57"/>
  <c r="V43" i="57"/>
  <c r="T43" i="57"/>
  <c r="Z43" i="57" s="1"/>
  <c r="P43" i="57"/>
  <c r="H43" i="57"/>
  <c r="F43" i="57"/>
  <c r="D43" i="57"/>
  <c r="B43" i="57"/>
  <c r="X42" i="57"/>
  <c r="Z42" i="57" s="1"/>
  <c r="L42" i="57"/>
  <c r="N42" i="57" s="1"/>
  <c r="B42" i="57"/>
  <c r="T41" i="57"/>
  <c r="R41" i="57"/>
  <c r="P41" i="57"/>
  <c r="H41" i="57"/>
  <c r="D41" i="57"/>
  <c r="L41" i="57" s="1"/>
  <c r="B41" i="57"/>
  <c r="Z40" i="57"/>
  <c r="X40" i="57"/>
  <c r="N40" i="57"/>
  <c r="L40" i="57"/>
  <c r="J40" i="57"/>
  <c r="F40" i="57"/>
  <c r="B40" i="57"/>
  <c r="Z39" i="57"/>
  <c r="X39" i="57"/>
  <c r="R39" i="57"/>
  <c r="N39" i="57"/>
  <c r="L39" i="57"/>
  <c r="J39" i="57"/>
  <c r="B39" i="57"/>
  <c r="T38" i="57"/>
  <c r="R38" i="57"/>
  <c r="P38" i="57"/>
  <c r="X38" i="57" s="1"/>
  <c r="Z38" i="57" s="1"/>
  <c r="N38" i="57"/>
  <c r="L38" i="57"/>
  <c r="H38" i="57"/>
  <c r="D38" i="57"/>
  <c r="B38" i="57"/>
  <c r="Z37" i="57"/>
  <c r="X37" i="57"/>
  <c r="L37" i="57"/>
  <c r="N37" i="57" s="1"/>
  <c r="F37" i="57"/>
  <c r="B37" i="57"/>
  <c r="Z36" i="57"/>
  <c r="X36" i="57"/>
  <c r="T36" i="57"/>
  <c r="R36" i="57"/>
  <c r="P36" i="57"/>
  <c r="L36" i="57"/>
  <c r="N36" i="57" s="1"/>
  <c r="H36" i="57"/>
  <c r="D36" i="57"/>
  <c r="B36" i="57"/>
  <c r="Z35" i="57"/>
  <c r="X35" i="57"/>
  <c r="V35" i="57"/>
  <c r="N35" i="57"/>
  <c r="L35" i="57"/>
  <c r="B35" i="57"/>
  <c r="Z34" i="57"/>
  <c r="X34" i="57"/>
  <c r="T34" i="57"/>
  <c r="P34" i="57"/>
  <c r="J34" i="57"/>
  <c r="H34" i="57"/>
  <c r="N34" i="57" s="1"/>
  <c r="D34" i="57"/>
  <c r="B34" i="57"/>
  <c r="X33" i="57"/>
  <c r="Z33" i="57" s="1"/>
  <c r="R33" i="57"/>
  <c r="N33" i="57"/>
  <c r="L33" i="57"/>
  <c r="B33" i="57"/>
  <c r="V32" i="57"/>
  <c r="T32" i="57"/>
  <c r="P32" i="57"/>
  <c r="J32" i="57"/>
  <c r="H32" i="57"/>
  <c r="F32" i="57"/>
  <c r="D32" i="57"/>
  <c r="L32" i="57" s="1"/>
  <c r="N32" i="57" s="1"/>
  <c r="B32" i="57"/>
  <c r="Z31" i="57"/>
  <c r="X31" i="57"/>
  <c r="R31" i="57"/>
  <c r="N31" i="57"/>
  <c r="L31" i="57"/>
  <c r="J31" i="57"/>
  <c r="B31" i="57"/>
  <c r="X30" i="57"/>
  <c r="Z30" i="57" s="1"/>
  <c r="N30" i="57"/>
  <c r="L30" i="57"/>
  <c r="B30" i="57"/>
  <c r="X29" i="57"/>
  <c r="Z29" i="57" s="1"/>
  <c r="R29" i="57"/>
  <c r="N29" i="57"/>
  <c r="L29" i="57"/>
  <c r="B29" i="57"/>
  <c r="V28" i="57"/>
  <c r="T28" i="57"/>
  <c r="P28" i="57"/>
  <c r="J28" i="57"/>
  <c r="H28" i="57"/>
  <c r="F28" i="57"/>
  <c r="D28" i="57"/>
  <c r="L28" i="57" s="1"/>
  <c r="N28" i="57" s="1"/>
  <c r="B28" i="57"/>
  <c r="Z27" i="57"/>
  <c r="X27" i="57"/>
  <c r="R27" i="57"/>
  <c r="L27" i="57"/>
  <c r="N27" i="57" s="1"/>
  <c r="J27" i="57"/>
  <c r="B27" i="57"/>
  <c r="X26" i="57"/>
  <c r="Z26" i="57" s="1"/>
  <c r="L26" i="57"/>
  <c r="N26" i="57" s="1"/>
  <c r="B26" i="57"/>
  <c r="X25" i="57"/>
  <c r="Z25" i="57" s="1"/>
  <c r="R25" i="57"/>
  <c r="N25" i="57"/>
  <c r="L25" i="57"/>
  <c r="B25" i="57"/>
  <c r="Z24" i="57"/>
  <c r="X24" i="57"/>
  <c r="V24" i="57"/>
  <c r="R24" i="57"/>
  <c r="L24" i="57"/>
  <c r="N24" i="57" s="1"/>
  <c r="B24" i="57"/>
  <c r="X23" i="57"/>
  <c r="Z23" i="57" s="1"/>
  <c r="V23" i="57"/>
  <c r="N23" i="57"/>
  <c r="L23" i="57"/>
  <c r="B23" i="57"/>
  <c r="X22" i="57"/>
  <c r="Z22" i="57" s="1"/>
  <c r="R22" i="57"/>
  <c r="L22" i="57"/>
  <c r="N22" i="57" s="1"/>
  <c r="J22" i="57"/>
  <c r="B22" i="57"/>
  <c r="Z21" i="57"/>
  <c r="X21" i="57"/>
  <c r="L21" i="57"/>
  <c r="N21" i="57" s="1"/>
  <c r="F21" i="57"/>
  <c r="B21" i="57"/>
  <c r="X20" i="57"/>
  <c r="Z20" i="57" s="1"/>
  <c r="R20" i="57"/>
  <c r="N20" i="57"/>
  <c r="L20" i="57"/>
  <c r="J20" i="57"/>
  <c r="F20" i="57"/>
  <c r="B20" i="57"/>
  <c r="T19" i="57"/>
  <c r="P19" i="57"/>
  <c r="X19" i="57" s="1"/>
  <c r="N19" i="57"/>
  <c r="H19" i="57"/>
  <c r="D19" i="57"/>
  <c r="L19" i="57" s="1"/>
  <c r="B19" i="57"/>
  <c r="X18" i="57"/>
  <c r="Z18" i="57" s="1"/>
  <c r="T18" i="57"/>
  <c r="P18" i="57"/>
  <c r="J18" i="57"/>
  <c r="H18" i="57"/>
  <c r="D18" i="57"/>
  <c r="L18" i="57" s="1"/>
  <c r="R16" i="57"/>
  <c r="P16" i="57"/>
  <c r="Z14" i="57"/>
  <c r="X14" i="57"/>
  <c r="T14" i="57"/>
  <c r="R14" i="57"/>
  <c r="P14" i="57"/>
  <c r="J14" i="57"/>
  <c r="H14" i="57"/>
  <c r="D14" i="57"/>
  <c r="L14" i="57" s="1"/>
  <c r="T12" i="57"/>
  <c r="V50" i="57" s="1"/>
  <c r="P12" i="57"/>
  <c r="R56" i="57" s="1"/>
  <c r="N12" i="57"/>
  <c r="L12" i="57"/>
  <c r="H12" i="57"/>
  <c r="J52" i="57" s="1"/>
  <c r="D12" i="57"/>
  <c r="F55" i="57" s="1"/>
  <c r="D6" i="57"/>
  <c r="D4" i="57"/>
  <c r="V72" i="56"/>
  <c r="Z67" i="56"/>
  <c r="X67" i="56"/>
  <c r="V67" i="56"/>
  <c r="R67" i="56"/>
  <c r="N67" i="56"/>
  <c r="L67" i="56"/>
  <c r="V65" i="56"/>
  <c r="X63" i="56"/>
  <c r="T63" i="56"/>
  <c r="Z63" i="56" s="1"/>
  <c r="P63" i="56"/>
  <c r="N63" i="56"/>
  <c r="L63" i="56"/>
  <c r="H63" i="56"/>
  <c r="D63" i="56"/>
  <c r="Z61" i="56"/>
  <c r="X61" i="56"/>
  <c r="V61" i="56"/>
  <c r="R61" i="56"/>
  <c r="N61" i="56"/>
  <c r="L61" i="56"/>
  <c r="B61" i="56"/>
  <c r="X60" i="56"/>
  <c r="V60" i="56"/>
  <c r="T60" i="56"/>
  <c r="Z60" i="56" s="1"/>
  <c r="P60" i="56"/>
  <c r="H60" i="56"/>
  <c r="N60" i="56" s="1"/>
  <c r="F60" i="56"/>
  <c r="D60" i="56"/>
  <c r="B60" i="56"/>
  <c r="X59" i="56"/>
  <c r="Z59" i="56" s="1"/>
  <c r="L59" i="56"/>
  <c r="N59" i="56" s="1"/>
  <c r="B59" i="56"/>
  <c r="T58" i="56"/>
  <c r="R58" i="56"/>
  <c r="P58" i="56"/>
  <c r="H58" i="56"/>
  <c r="D58" i="56"/>
  <c r="L58" i="56" s="1"/>
  <c r="N58" i="56" s="1"/>
  <c r="B58" i="56"/>
  <c r="X57" i="56"/>
  <c r="Z57" i="56" s="1"/>
  <c r="N57" i="56"/>
  <c r="L57" i="56"/>
  <c r="J57" i="56"/>
  <c r="F57" i="56"/>
  <c r="B57" i="56"/>
  <c r="Z56" i="56"/>
  <c r="X56" i="56"/>
  <c r="N56" i="56"/>
  <c r="L56" i="56"/>
  <c r="J56" i="56"/>
  <c r="B56" i="56"/>
  <c r="T55" i="56"/>
  <c r="R55" i="56"/>
  <c r="P55" i="56"/>
  <c r="X55" i="56" s="1"/>
  <c r="Z55" i="56" s="1"/>
  <c r="L55" i="56"/>
  <c r="H55" i="56"/>
  <c r="N55" i="56" s="1"/>
  <c r="D55" i="56"/>
  <c r="B55" i="56"/>
  <c r="Z54" i="56"/>
  <c r="X54" i="56"/>
  <c r="N54" i="56"/>
  <c r="L54" i="56"/>
  <c r="B54" i="56"/>
  <c r="X53" i="56"/>
  <c r="T53" i="56"/>
  <c r="Z53" i="56" s="1"/>
  <c r="P53" i="56"/>
  <c r="N53" i="56"/>
  <c r="L53" i="56"/>
  <c r="H53" i="56"/>
  <c r="D53" i="56"/>
  <c r="B53" i="56"/>
  <c r="Z52" i="56"/>
  <c r="X52" i="56"/>
  <c r="V52" i="56"/>
  <c r="N52" i="56"/>
  <c r="L52" i="56"/>
  <c r="B52" i="56"/>
  <c r="X51" i="56"/>
  <c r="Z51" i="56" s="1"/>
  <c r="L51" i="56"/>
  <c r="N51" i="56" s="1"/>
  <c r="B51" i="56"/>
  <c r="T50" i="56"/>
  <c r="P50" i="56"/>
  <c r="X50" i="56" s="1"/>
  <c r="Z50" i="56" s="1"/>
  <c r="L50" i="56"/>
  <c r="J50" i="56"/>
  <c r="H50" i="56"/>
  <c r="N50" i="56" s="1"/>
  <c r="D50" i="56"/>
  <c r="B50" i="56"/>
  <c r="Z49" i="56"/>
  <c r="X49" i="56"/>
  <c r="V49" i="56"/>
  <c r="R49" i="56"/>
  <c r="N49" i="56"/>
  <c r="L49" i="56"/>
  <c r="B49" i="56"/>
  <c r="X48" i="56"/>
  <c r="Z48" i="56" s="1"/>
  <c r="V48" i="56"/>
  <c r="N48" i="56"/>
  <c r="L48" i="56"/>
  <c r="B48" i="56"/>
  <c r="X47" i="56"/>
  <c r="Z47" i="56" s="1"/>
  <c r="N47" i="56"/>
  <c r="L47" i="56"/>
  <c r="B47" i="56"/>
  <c r="T46" i="56"/>
  <c r="P46" i="56"/>
  <c r="X46" i="56" s="1"/>
  <c r="Z46" i="56" s="1"/>
  <c r="L46" i="56"/>
  <c r="J46" i="56"/>
  <c r="H46" i="56"/>
  <c r="N46" i="56" s="1"/>
  <c r="D46" i="56"/>
  <c r="B46" i="56"/>
  <c r="Z45" i="56"/>
  <c r="X45" i="56"/>
  <c r="V45" i="56"/>
  <c r="R45" i="56"/>
  <c r="L45" i="56"/>
  <c r="N45" i="56" s="1"/>
  <c r="B45" i="56"/>
  <c r="X44" i="56"/>
  <c r="V44" i="56"/>
  <c r="T44" i="56"/>
  <c r="Z44" i="56" s="1"/>
  <c r="P44" i="56"/>
  <c r="H44" i="56"/>
  <c r="F44" i="56"/>
  <c r="D44" i="56"/>
  <c r="B44" i="56"/>
  <c r="X43" i="56"/>
  <c r="Z43" i="56" s="1"/>
  <c r="N43" i="56"/>
  <c r="L43" i="56"/>
  <c r="B43" i="56"/>
  <c r="T42" i="56"/>
  <c r="R42" i="56"/>
  <c r="P42" i="56"/>
  <c r="N42" i="56"/>
  <c r="H42" i="56"/>
  <c r="D42" i="56"/>
  <c r="L42" i="56" s="1"/>
  <c r="B42" i="56"/>
  <c r="X41" i="56"/>
  <c r="Z41" i="56" s="1"/>
  <c r="N41" i="56"/>
  <c r="L41" i="56"/>
  <c r="J41" i="56"/>
  <c r="F41" i="56"/>
  <c r="B41" i="56"/>
  <c r="T40" i="56"/>
  <c r="P40" i="56"/>
  <c r="X40" i="56" s="1"/>
  <c r="Z40" i="56" s="1"/>
  <c r="N40" i="56"/>
  <c r="J40" i="56"/>
  <c r="H40" i="56"/>
  <c r="D40" i="56"/>
  <c r="L40" i="56" s="1"/>
  <c r="B40" i="56"/>
  <c r="Z39" i="56"/>
  <c r="X39" i="56"/>
  <c r="N39" i="56"/>
  <c r="L39" i="56"/>
  <c r="B39" i="56"/>
  <c r="Z38" i="56"/>
  <c r="T38" i="56"/>
  <c r="P38" i="56"/>
  <c r="X38" i="56" s="1"/>
  <c r="L38" i="56"/>
  <c r="J38" i="56"/>
  <c r="H38" i="56"/>
  <c r="N38" i="56" s="1"/>
  <c r="D38" i="56"/>
  <c r="B38" i="56"/>
  <c r="Z37" i="56"/>
  <c r="X37" i="56"/>
  <c r="V37" i="56"/>
  <c r="R37" i="56"/>
  <c r="N37" i="56"/>
  <c r="L37" i="56"/>
  <c r="B37" i="56"/>
  <c r="X36" i="56"/>
  <c r="V36" i="56"/>
  <c r="T36" i="56"/>
  <c r="Z36" i="56" s="1"/>
  <c r="P36" i="56"/>
  <c r="H36" i="56"/>
  <c r="N36" i="56" s="1"/>
  <c r="F36" i="56"/>
  <c r="D36" i="56"/>
  <c r="B36" i="56"/>
  <c r="X35" i="56"/>
  <c r="Z35" i="56" s="1"/>
  <c r="L35" i="56"/>
  <c r="N35" i="56" s="1"/>
  <c r="B35" i="56"/>
  <c r="T34" i="56"/>
  <c r="R34" i="56"/>
  <c r="P34" i="56"/>
  <c r="H34" i="56"/>
  <c r="D34" i="56"/>
  <c r="L34" i="56" s="1"/>
  <c r="N34" i="56" s="1"/>
  <c r="B34" i="56"/>
  <c r="X33" i="56"/>
  <c r="Z33" i="56" s="1"/>
  <c r="N33" i="56"/>
  <c r="L33" i="56"/>
  <c r="J33" i="56"/>
  <c r="F33" i="56"/>
  <c r="B33" i="56"/>
  <c r="T32" i="56"/>
  <c r="P32" i="56"/>
  <c r="X32" i="56" s="1"/>
  <c r="Z32" i="56" s="1"/>
  <c r="N32" i="56"/>
  <c r="J32" i="56"/>
  <c r="H32" i="56"/>
  <c r="D32" i="56"/>
  <c r="L32" i="56" s="1"/>
  <c r="B32" i="56"/>
  <c r="X31" i="56"/>
  <c r="Z31" i="56" s="1"/>
  <c r="R31" i="56"/>
  <c r="N31" i="56"/>
  <c r="L31" i="56"/>
  <c r="J31" i="56"/>
  <c r="B31" i="56"/>
  <c r="Z30" i="56"/>
  <c r="X30" i="56"/>
  <c r="L30" i="56"/>
  <c r="N30" i="56" s="1"/>
  <c r="B30" i="56"/>
  <c r="X29" i="56"/>
  <c r="Z29" i="56" s="1"/>
  <c r="N29" i="56"/>
  <c r="L29" i="56"/>
  <c r="J29" i="56"/>
  <c r="F29" i="56"/>
  <c r="B29" i="56"/>
  <c r="T28" i="56"/>
  <c r="P28" i="56"/>
  <c r="X28" i="56" s="1"/>
  <c r="Z28" i="56" s="1"/>
  <c r="N28" i="56"/>
  <c r="J28" i="56"/>
  <c r="H28" i="56"/>
  <c r="D28" i="56"/>
  <c r="L28" i="56" s="1"/>
  <c r="B28" i="56"/>
  <c r="X27" i="56"/>
  <c r="Z27" i="56" s="1"/>
  <c r="R27" i="56"/>
  <c r="N27" i="56"/>
  <c r="L27" i="56"/>
  <c r="J27" i="56"/>
  <c r="B27" i="56"/>
  <c r="Z26" i="56"/>
  <c r="X26" i="56"/>
  <c r="L26" i="56"/>
  <c r="N26" i="56" s="1"/>
  <c r="B26" i="56"/>
  <c r="X25" i="56"/>
  <c r="Z25" i="56" s="1"/>
  <c r="N25" i="56"/>
  <c r="L25" i="56"/>
  <c r="J25" i="56"/>
  <c r="F25" i="56"/>
  <c r="B25" i="56"/>
  <c r="Z24" i="56"/>
  <c r="X24" i="56"/>
  <c r="R24" i="56"/>
  <c r="L24" i="56"/>
  <c r="N24" i="56" s="1"/>
  <c r="J24" i="56"/>
  <c r="B24" i="56"/>
  <c r="Z23" i="56"/>
  <c r="X23" i="56"/>
  <c r="L23" i="56"/>
  <c r="N23" i="56" s="1"/>
  <c r="B23" i="56"/>
  <c r="X22" i="56"/>
  <c r="Z22" i="56" s="1"/>
  <c r="R22" i="56"/>
  <c r="N22" i="56"/>
  <c r="L22" i="56"/>
  <c r="J22" i="56"/>
  <c r="B22" i="56"/>
  <c r="Z21" i="56"/>
  <c r="X21" i="56"/>
  <c r="V21" i="56"/>
  <c r="R21" i="56"/>
  <c r="L21" i="56"/>
  <c r="N21" i="56" s="1"/>
  <c r="B21" i="56"/>
  <c r="X20" i="56"/>
  <c r="Z20" i="56" s="1"/>
  <c r="V20" i="56"/>
  <c r="N20" i="56"/>
  <c r="L20" i="56"/>
  <c r="B20" i="56"/>
  <c r="X19" i="56"/>
  <c r="Z19" i="56" s="1"/>
  <c r="T19" i="56"/>
  <c r="P19" i="56"/>
  <c r="J19" i="56"/>
  <c r="H19" i="56"/>
  <c r="D19" i="56"/>
  <c r="L19" i="56" s="1"/>
  <c r="B19" i="56"/>
  <c r="T18" i="56"/>
  <c r="R18" i="56"/>
  <c r="P18" i="56"/>
  <c r="J18" i="56"/>
  <c r="H18" i="56"/>
  <c r="D18" i="56"/>
  <c r="L18" i="56" s="1"/>
  <c r="P16" i="56"/>
  <c r="J16" i="56"/>
  <c r="T14" i="56"/>
  <c r="Z14" i="56" s="1"/>
  <c r="R14" i="56"/>
  <c r="P14" i="56"/>
  <c r="J14" i="56"/>
  <c r="H14" i="56"/>
  <c r="H16" i="56" s="1"/>
  <c r="D14" i="56"/>
  <c r="L14" i="56" s="1"/>
  <c r="Z12" i="56"/>
  <c r="T12" i="56"/>
  <c r="V51" i="56" s="1"/>
  <c r="P12" i="56"/>
  <c r="R72" i="56" s="1"/>
  <c r="N12" i="56"/>
  <c r="H12" i="56"/>
  <c r="J69" i="56" s="1"/>
  <c r="D12" i="56"/>
  <c r="F56" i="56" s="1"/>
  <c r="D6" i="56"/>
  <c r="D4" i="56"/>
  <c r="J37" i="55"/>
  <c r="V34" i="55"/>
  <c r="F34" i="55"/>
  <c r="Z32" i="55"/>
  <c r="X32" i="55"/>
  <c r="N32" i="55"/>
  <c r="L32" i="55"/>
  <c r="J32" i="55"/>
  <c r="J30" i="55"/>
  <c r="X28" i="55"/>
  <c r="V28" i="55"/>
  <c r="T28" i="55"/>
  <c r="Z28" i="55" s="1"/>
  <c r="P28" i="55"/>
  <c r="H28" i="55"/>
  <c r="F28" i="55"/>
  <c r="D28" i="55"/>
  <c r="Z26" i="55"/>
  <c r="X26" i="55"/>
  <c r="L26" i="55"/>
  <c r="N26" i="55" s="1"/>
  <c r="J26" i="55"/>
  <c r="B26" i="55"/>
  <c r="T25" i="55"/>
  <c r="R25" i="55"/>
  <c r="P25" i="55"/>
  <c r="X25" i="55" s="1"/>
  <c r="Z25" i="55" s="1"/>
  <c r="L25" i="55"/>
  <c r="N25" i="55" s="1"/>
  <c r="H25" i="55"/>
  <c r="D25" i="55"/>
  <c r="B25" i="55"/>
  <c r="Z24" i="55"/>
  <c r="X24" i="55"/>
  <c r="L24" i="55"/>
  <c r="N24" i="55" s="1"/>
  <c r="F24" i="55"/>
  <c r="B24" i="55"/>
  <c r="X23" i="55"/>
  <c r="Z23" i="55" s="1"/>
  <c r="T23" i="55"/>
  <c r="P23" i="55"/>
  <c r="N23" i="55"/>
  <c r="L23" i="55"/>
  <c r="J23" i="55"/>
  <c r="H23" i="55"/>
  <c r="D23" i="55"/>
  <c r="B23" i="55"/>
  <c r="X22" i="55"/>
  <c r="Z22" i="55" s="1"/>
  <c r="V22" i="55"/>
  <c r="N22" i="55"/>
  <c r="L22" i="55"/>
  <c r="B22" i="55"/>
  <c r="X21" i="55"/>
  <c r="Z21" i="55" s="1"/>
  <c r="T21" i="55"/>
  <c r="P21" i="55"/>
  <c r="J21" i="55"/>
  <c r="H21" i="55"/>
  <c r="D21" i="55"/>
  <c r="B21" i="55"/>
  <c r="X20" i="55"/>
  <c r="Z20" i="55" s="1"/>
  <c r="R20" i="55"/>
  <c r="N20" i="55"/>
  <c r="L20" i="55"/>
  <c r="J20" i="55"/>
  <c r="B20" i="55"/>
  <c r="V19" i="55"/>
  <c r="T19" i="55"/>
  <c r="P19" i="55"/>
  <c r="J19" i="55"/>
  <c r="H19" i="55"/>
  <c r="N19" i="55" s="1"/>
  <c r="F19" i="55"/>
  <c r="D19" i="55"/>
  <c r="L19" i="55" s="1"/>
  <c r="B19" i="55"/>
  <c r="T18" i="55"/>
  <c r="P18" i="55"/>
  <c r="X18" i="55" s="1"/>
  <c r="Z18" i="55" s="1"/>
  <c r="J18" i="55"/>
  <c r="H18" i="55"/>
  <c r="D18" i="55"/>
  <c r="L18" i="55" s="1"/>
  <c r="N18" i="55" s="1"/>
  <c r="V16" i="55"/>
  <c r="R16" i="55"/>
  <c r="H16" i="55"/>
  <c r="F16" i="55"/>
  <c r="T14" i="55"/>
  <c r="Z14" i="55" s="1"/>
  <c r="P14" i="55"/>
  <c r="X14" i="55" s="1"/>
  <c r="N14" i="55"/>
  <c r="J14" i="55"/>
  <c r="H14" i="55"/>
  <c r="D14" i="55"/>
  <c r="L14" i="55" s="1"/>
  <c r="X12" i="55"/>
  <c r="T12" i="55"/>
  <c r="P12" i="55"/>
  <c r="R22" i="55" s="1"/>
  <c r="N12" i="55"/>
  <c r="H12" i="55"/>
  <c r="J25" i="55" s="1"/>
  <c r="D12" i="55"/>
  <c r="F32" i="55" s="1"/>
  <c r="D6" i="55"/>
  <c r="D4" i="55"/>
  <c r="V31" i="54"/>
  <c r="J31" i="54"/>
  <c r="F31" i="54"/>
  <c r="T29" i="54"/>
  <c r="R29" i="54"/>
  <c r="P29" i="54"/>
  <c r="H29" i="54"/>
  <c r="N29" i="54" s="1"/>
  <c r="D29" i="54"/>
  <c r="L29" i="54" s="1"/>
  <c r="V28" i="54"/>
  <c r="T28" i="54"/>
  <c r="P28" i="54"/>
  <c r="X28" i="54" s="1"/>
  <c r="Z28" i="54" s="1"/>
  <c r="L28" i="54"/>
  <c r="J28" i="54"/>
  <c r="H28" i="54"/>
  <c r="F28" i="54"/>
  <c r="D28" i="54"/>
  <c r="R26" i="54"/>
  <c r="Z24" i="54"/>
  <c r="X24" i="54"/>
  <c r="V24" i="54"/>
  <c r="N24" i="54"/>
  <c r="L24" i="54"/>
  <c r="F24" i="54"/>
  <c r="V22" i="54"/>
  <c r="J22" i="54"/>
  <c r="F22" i="54"/>
  <c r="T20" i="54"/>
  <c r="P20" i="54"/>
  <c r="H20" i="54"/>
  <c r="N20" i="54" s="1"/>
  <c r="D20" i="54"/>
  <c r="L20" i="54" s="1"/>
  <c r="Z18" i="54"/>
  <c r="V18" i="54"/>
  <c r="T18" i="54"/>
  <c r="P18" i="54"/>
  <c r="X18" i="54" s="1"/>
  <c r="L18" i="54"/>
  <c r="J18" i="54"/>
  <c r="H18" i="54"/>
  <c r="N18" i="54" s="1"/>
  <c r="F18" i="54"/>
  <c r="D18" i="54"/>
  <c r="T16" i="54"/>
  <c r="H16" i="54"/>
  <c r="H22" i="54" s="1"/>
  <c r="D16" i="54"/>
  <c r="Z14" i="54"/>
  <c r="V14" i="54"/>
  <c r="T14" i="54"/>
  <c r="P14" i="54"/>
  <c r="X14" i="54" s="1"/>
  <c r="L14" i="54"/>
  <c r="J14" i="54"/>
  <c r="H14" i="54"/>
  <c r="N14" i="54" s="1"/>
  <c r="F14" i="54"/>
  <c r="D14" i="54"/>
  <c r="T12" i="54"/>
  <c r="Z12" i="54" s="1"/>
  <c r="P12" i="54"/>
  <c r="R16" i="54" s="1"/>
  <c r="N12" i="54"/>
  <c r="H12" i="54"/>
  <c r="L12" i="54" s="1"/>
  <c r="D12" i="54"/>
  <c r="F29" i="54" s="1"/>
  <c r="D6" i="54"/>
  <c r="D4" i="54"/>
  <c r="B39" i="53"/>
  <c r="B38" i="53"/>
  <c r="T34" i="53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D22" i="53"/>
  <c r="B22" i="53"/>
  <c r="T21" i="53"/>
  <c r="Z21" i="53" s="1"/>
  <c r="P21" i="53"/>
  <c r="H21" i="53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D13" i="53"/>
  <c r="B13" i="53"/>
  <c r="T12" i="53"/>
  <c r="P12" i="53"/>
  <c r="H12" i="53"/>
  <c r="J22" i="53" s="1"/>
  <c r="D12" i="53"/>
  <c r="F36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P24" i="52"/>
  <c r="H24" i="52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P20" i="52"/>
  <c r="H20" i="52"/>
  <c r="N20" i="52" s="1"/>
  <c r="D20" i="52"/>
  <c r="T16" i="52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31" i="52" s="1"/>
  <c r="P12" i="52"/>
  <c r="H12" i="52"/>
  <c r="J36" i="52" s="1"/>
  <c r="D12" i="52"/>
  <c r="F21" i="52" s="1"/>
  <c r="D5" i="52"/>
  <c r="D4" i="52"/>
  <c r="Z98" i="51"/>
  <c r="X98" i="51"/>
  <c r="L98" i="51"/>
  <c r="N98" i="51" s="1"/>
  <c r="T94" i="51"/>
  <c r="P94" i="51"/>
  <c r="H94" i="51"/>
  <c r="D94" i="51"/>
  <c r="B94" i="51"/>
  <c r="Z93" i="51"/>
  <c r="X93" i="51"/>
  <c r="T93" i="51"/>
  <c r="P93" i="51"/>
  <c r="N93" i="51"/>
  <c r="L93" i="51"/>
  <c r="H93" i="51"/>
  <c r="D93" i="51"/>
  <c r="B93" i="51"/>
  <c r="X92" i="51"/>
  <c r="Z92" i="51" s="1"/>
  <c r="T92" i="51"/>
  <c r="P92" i="51"/>
  <c r="H92" i="51"/>
  <c r="D92" i="51"/>
  <c r="B92" i="51"/>
  <c r="P91" i="51"/>
  <c r="X89" i="51"/>
  <c r="Z89" i="51" s="1"/>
  <c r="N89" i="51"/>
  <c r="L89" i="51"/>
  <c r="B89" i="51"/>
  <c r="Z88" i="51"/>
  <c r="T88" i="51"/>
  <c r="P88" i="51"/>
  <c r="X88" i="51" s="1"/>
  <c r="N88" i="51"/>
  <c r="L88" i="51"/>
  <c r="H88" i="51"/>
  <c r="D88" i="51"/>
  <c r="B88" i="51"/>
  <c r="Z87" i="51"/>
  <c r="X87" i="51"/>
  <c r="L87" i="51"/>
  <c r="N87" i="51" s="1"/>
  <c r="B87" i="51"/>
  <c r="X86" i="51"/>
  <c r="Z86" i="51" s="1"/>
  <c r="T86" i="51"/>
  <c r="P86" i="51"/>
  <c r="H86" i="51"/>
  <c r="D86" i="51"/>
  <c r="B86" i="51"/>
  <c r="Z85" i="51"/>
  <c r="X85" i="51"/>
  <c r="N85" i="51"/>
  <c r="L85" i="51"/>
  <c r="B85" i="51"/>
  <c r="X84" i="51"/>
  <c r="Z84" i="51" s="1"/>
  <c r="N84" i="51"/>
  <c r="L84" i="51"/>
  <c r="B84" i="51"/>
  <c r="Z83" i="51"/>
  <c r="X83" i="51"/>
  <c r="N83" i="51"/>
  <c r="L83" i="51"/>
  <c r="B83" i="51"/>
  <c r="X82" i="51"/>
  <c r="T82" i="51"/>
  <c r="P82" i="51"/>
  <c r="H82" i="51"/>
  <c r="D82" i="51"/>
  <c r="B82" i="51"/>
  <c r="X81" i="51"/>
  <c r="Z81" i="51" s="1"/>
  <c r="L81" i="51"/>
  <c r="N81" i="51" s="1"/>
  <c r="B81" i="51"/>
  <c r="T80" i="51"/>
  <c r="P80" i="51"/>
  <c r="H80" i="51"/>
  <c r="D80" i="51"/>
  <c r="L80" i="51" s="1"/>
  <c r="B80" i="51"/>
  <c r="X79" i="51"/>
  <c r="Z79" i="51" s="1"/>
  <c r="N79" i="51"/>
  <c r="L79" i="51"/>
  <c r="B79" i="51"/>
  <c r="T78" i="51"/>
  <c r="Z78" i="51" s="1"/>
  <c r="P78" i="51"/>
  <c r="X78" i="51" s="1"/>
  <c r="N78" i="51"/>
  <c r="H78" i="51"/>
  <c r="D78" i="51"/>
  <c r="L78" i="51" s="1"/>
  <c r="B78" i="51"/>
  <c r="Z77" i="51"/>
  <c r="X77" i="51"/>
  <c r="N77" i="51"/>
  <c r="L77" i="51"/>
  <c r="B77" i="51"/>
  <c r="Z76" i="51"/>
  <c r="X76" i="51"/>
  <c r="L76" i="51"/>
  <c r="N76" i="51" s="1"/>
  <c r="B76" i="51"/>
  <c r="T75" i="51"/>
  <c r="P75" i="51"/>
  <c r="X75" i="51" s="1"/>
  <c r="Z75" i="51" s="1"/>
  <c r="N75" i="51"/>
  <c r="L75" i="51"/>
  <c r="H75" i="51"/>
  <c r="D75" i="51"/>
  <c r="B75" i="51"/>
  <c r="Z74" i="51"/>
  <c r="X74" i="51"/>
  <c r="N74" i="51"/>
  <c r="L74" i="51"/>
  <c r="B74" i="51"/>
  <c r="Z73" i="51"/>
  <c r="X73" i="51"/>
  <c r="T73" i="51"/>
  <c r="P73" i="51"/>
  <c r="H73" i="51"/>
  <c r="D73" i="51"/>
  <c r="B73" i="51"/>
  <c r="X72" i="51"/>
  <c r="Z72" i="51" s="1"/>
  <c r="N72" i="51"/>
  <c r="L72" i="51"/>
  <c r="B72" i="51"/>
  <c r="T71" i="51"/>
  <c r="P71" i="51"/>
  <c r="H71" i="51"/>
  <c r="D71" i="51"/>
  <c r="L71" i="51" s="1"/>
  <c r="B71" i="51"/>
  <c r="X70" i="51"/>
  <c r="Z70" i="51" s="1"/>
  <c r="L70" i="51"/>
  <c r="N70" i="51" s="1"/>
  <c r="B70" i="51"/>
  <c r="T69" i="51"/>
  <c r="P69" i="51"/>
  <c r="X69" i="51" s="1"/>
  <c r="H69" i="51"/>
  <c r="N69" i="51" s="1"/>
  <c r="D69" i="51"/>
  <c r="L69" i="51" s="1"/>
  <c r="B69" i="51"/>
  <c r="Z68" i="51"/>
  <c r="X68" i="51"/>
  <c r="N68" i="51"/>
  <c r="L68" i="51"/>
  <c r="B68" i="51"/>
  <c r="X67" i="51"/>
  <c r="Z67" i="51" s="1"/>
  <c r="N67" i="51"/>
  <c r="L67" i="51"/>
  <c r="B67" i="51"/>
  <c r="Z66" i="51"/>
  <c r="X66" i="51"/>
  <c r="N66" i="51"/>
  <c r="L66" i="51"/>
  <c r="B66" i="51"/>
  <c r="X65" i="51"/>
  <c r="Z65" i="51" s="1"/>
  <c r="N65" i="51"/>
  <c r="L65" i="51"/>
  <c r="B65" i="51"/>
  <c r="X64" i="51"/>
  <c r="Z64" i="51" s="1"/>
  <c r="N64" i="51"/>
  <c r="L64" i="51"/>
  <c r="B64" i="51"/>
  <c r="T63" i="51"/>
  <c r="P63" i="51"/>
  <c r="X63" i="51" s="1"/>
  <c r="H63" i="51"/>
  <c r="N63" i="51" s="1"/>
  <c r="D63" i="51"/>
  <c r="L63" i="51" s="1"/>
  <c r="B63" i="51"/>
  <c r="Z62" i="51"/>
  <c r="X62" i="51"/>
  <c r="L62" i="51"/>
  <c r="N62" i="51" s="1"/>
  <c r="B62" i="51"/>
  <c r="X61" i="51"/>
  <c r="Z61" i="51" s="1"/>
  <c r="L61" i="51"/>
  <c r="N61" i="51" s="1"/>
  <c r="B61" i="51"/>
  <c r="Z60" i="51"/>
  <c r="X60" i="51"/>
  <c r="N60" i="51"/>
  <c r="L60" i="51"/>
  <c r="B60" i="51"/>
  <c r="Z59" i="51"/>
  <c r="X59" i="51"/>
  <c r="L59" i="51"/>
  <c r="N59" i="51" s="1"/>
  <c r="B59" i="51"/>
  <c r="X58" i="51"/>
  <c r="Z58" i="51" s="1"/>
  <c r="N58" i="51"/>
  <c r="L58" i="51"/>
  <c r="B58" i="51"/>
  <c r="X57" i="51"/>
  <c r="Z57" i="51" s="1"/>
  <c r="L57" i="51"/>
  <c r="N57" i="51" s="1"/>
  <c r="B57" i="51"/>
  <c r="Z56" i="51"/>
  <c r="X56" i="51"/>
  <c r="L56" i="51"/>
  <c r="N56" i="51" s="1"/>
  <c r="B56" i="51"/>
  <c r="X55" i="51"/>
  <c r="Z55" i="51" s="1"/>
  <c r="N55" i="51"/>
  <c r="L55" i="51"/>
  <c r="B55" i="51"/>
  <c r="Z54" i="51"/>
  <c r="X54" i="51"/>
  <c r="L54" i="51"/>
  <c r="N54" i="51" s="1"/>
  <c r="B54" i="51"/>
  <c r="T53" i="51"/>
  <c r="P53" i="51"/>
  <c r="X53" i="51" s="1"/>
  <c r="H53" i="51"/>
  <c r="N53" i="51" s="1"/>
  <c r="D53" i="51"/>
  <c r="L53" i="51" s="1"/>
  <c r="B53" i="51"/>
  <c r="Z52" i="51"/>
  <c r="T52" i="51"/>
  <c r="P52" i="51"/>
  <c r="X52" i="51" s="1"/>
  <c r="L52" i="51"/>
  <c r="H52" i="51"/>
  <c r="N52" i="51" s="1"/>
  <c r="D52" i="51"/>
  <c r="Z48" i="51"/>
  <c r="X48" i="51"/>
  <c r="N48" i="51"/>
  <c r="L48" i="51"/>
  <c r="B48" i="51"/>
  <c r="Z47" i="51"/>
  <c r="X47" i="5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X42" i="51"/>
  <c r="Z42" i="51" s="1"/>
  <c r="L42" i="51"/>
  <c r="N42" i="51" s="1"/>
  <c r="B42" i="51"/>
  <c r="Z41" i="51"/>
  <c r="X41" i="51"/>
  <c r="N41" i="51"/>
  <c r="L41" i="51"/>
  <c r="B41" i="51"/>
  <c r="Z40" i="51"/>
  <c r="X40" i="51"/>
  <c r="L40" i="51"/>
  <c r="N40" i="51" s="1"/>
  <c r="B40" i="51"/>
  <c r="Z39" i="51"/>
  <c r="X39" i="51"/>
  <c r="N39" i="51"/>
  <c r="L39" i="51"/>
  <c r="B39" i="51"/>
  <c r="X38" i="51"/>
  <c r="Z38" i="51" s="1"/>
  <c r="L38" i="51"/>
  <c r="N38" i="51" s="1"/>
  <c r="B38" i="51"/>
  <c r="Z37" i="51"/>
  <c r="X37" i="51"/>
  <c r="N37" i="51"/>
  <c r="L37" i="51"/>
  <c r="B37" i="51"/>
  <c r="Z36" i="51"/>
  <c r="X36" i="51"/>
  <c r="N36" i="51"/>
  <c r="L36" i="51"/>
  <c r="B36" i="51"/>
  <c r="T35" i="51"/>
  <c r="P35" i="51"/>
  <c r="X35" i="51" s="1"/>
  <c r="H35" i="51"/>
  <c r="D35" i="51"/>
  <c r="L35" i="51" s="1"/>
  <c r="N35" i="51" s="1"/>
  <c r="T33" i="51"/>
  <c r="Z33" i="51" s="1"/>
  <c r="P33" i="51"/>
  <c r="H33" i="51"/>
  <c r="N33" i="51" s="1"/>
  <c r="D33" i="51"/>
  <c r="L33" i="51" s="1"/>
  <c r="B33" i="51"/>
  <c r="X32" i="51"/>
  <c r="Z32" i="51" s="1"/>
  <c r="T32" i="51"/>
  <c r="P32" i="51"/>
  <c r="H32" i="51"/>
  <c r="N32" i="51" s="1"/>
  <c r="D32" i="51"/>
  <c r="B32" i="51"/>
  <c r="Z31" i="51"/>
  <c r="T31" i="51"/>
  <c r="P31" i="51"/>
  <c r="X31" i="51" s="1"/>
  <c r="N31" i="51"/>
  <c r="L31" i="51"/>
  <c r="H31" i="51"/>
  <c r="D31" i="51"/>
  <c r="B31" i="51"/>
  <c r="T30" i="51"/>
  <c r="P30" i="51"/>
  <c r="X30" i="51" s="1"/>
  <c r="Z30" i="51" s="1"/>
  <c r="N30" i="51"/>
  <c r="H30" i="51"/>
  <c r="D30" i="51"/>
  <c r="L30" i="51" s="1"/>
  <c r="B30" i="51"/>
  <c r="T29" i="51"/>
  <c r="P29" i="51"/>
  <c r="X29" i="51" s="1"/>
  <c r="H29" i="51"/>
  <c r="N29" i="51" s="1"/>
  <c r="D29" i="51"/>
  <c r="B29" i="51"/>
  <c r="X28" i="51"/>
  <c r="T28" i="51"/>
  <c r="P28" i="51"/>
  <c r="L28" i="51"/>
  <c r="N28" i="51" s="1"/>
  <c r="H28" i="51"/>
  <c r="D28" i="51"/>
  <c r="B28" i="51"/>
  <c r="X27" i="51"/>
  <c r="Z27" i="51" s="1"/>
  <c r="T27" i="51"/>
  <c r="P27" i="51"/>
  <c r="H27" i="51"/>
  <c r="L27" i="51" s="1"/>
  <c r="N27" i="51" s="1"/>
  <c r="D27" i="51"/>
  <c r="B27" i="51"/>
  <c r="T26" i="51"/>
  <c r="P26" i="51"/>
  <c r="X26" i="51" s="1"/>
  <c r="Z26" i="51" s="1"/>
  <c r="H26" i="51"/>
  <c r="D26" i="51"/>
  <c r="L26" i="51" s="1"/>
  <c r="N26" i="51" s="1"/>
  <c r="B26" i="51"/>
  <c r="T25" i="51"/>
  <c r="Z25" i="51" s="1"/>
  <c r="P25" i="51"/>
  <c r="H25" i="51"/>
  <c r="N25" i="51" s="1"/>
  <c r="D25" i="51"/>
  <c r="B25" i="51"/>
  <c r="X24" i="51"/>
  <c r="Z24" i="51" s="1"/>
  <c r="T24" i="51"/>
  <c r="P24" i="51"/>
  <c r="H24" i="51"/>
  <c r="D24" i="51"/>
  <c r="B24" i="51"/>
  <c r="T23" i="51"/>
  <c r="X23" i="51" s="1"/>
  <c r="Z23" i="51" s="1"/>
  <c r="P23" i="51"/>
  <c r="N23" i="51"/>
  <c r="L23" i="51"/>
  <c r="H23" i="51"/>
  <c r="D23" i="51"/>
  <c r="B23" i="51"/>
  <c r="T22" i="51"/>
  <c r="P22" i="51"/>
  <c r="X22" i="51" s="1"/>
  <c r="Z22" i="51" s="1"/>
  <c r="N22" i="51"/>
  <c r="H22" i="51"/>
  <c r="D22" i="51"/>
  <c r="L22" i="51" s="1"/>
  <c r="B22" i="51"/>
  <c r="T21" i="51"/>
  <c r="P21" i="51"/>
  <c r="X21" i="51" s="1"/>
  <c r="H21" i="51"/>
  <c r="D21" i="51"/>
  <c r="L21" i="51" s="1"/>
  <c r="B21" i="51"/>
  <c r="X20" i="51"/>
  <c r="T20" i="51"/>
  <c r="P20" i="51"/>
  <c r="L20" i="51"/>
  <c r="H20" i="51"/>
  <c r="N20" i="51" s="1"/>
  <c r="D20" i="51"/>
  <c r="B20" i="51"/>
  <c r="Z19" i="51"/>
  <c r="X19" i="51"/>
  <c r="T19" i="51"/>
  <c r="P19" i="51"/>
  <c r="N19" i="51"/>
  <c r="H19" i="51"/>
  <c r="L19" i="51" s="1"/>
  <c r="D19" i="51"/>
  <c r="B19" i="51"/>
  <c r="Z18" i="51"/>
  <c r="T18" i="51"/>
  <c r="P18" i="51"/>
  <c r="X18" i="51" s="1"/>
  <c r="H18" i="51"/>
  <c r="D18" i="51"/>
  <c r="L18" i="51" s="1"/>
  <c r="N18" i="51" s="1"/>
  <c r="B18" i="51"/>
  <c r="T17" i="51"/>
  <c r="P17" i="51"/>
  <c r="X17" i="51" s="1"/>
  <c r="H17" i="51"/>
  <c r="D17" i="51"/>
  <c r="L17" i="51" s="1"/>
  <c r="B17" i="51"/>
  <c r="X16" i="51"/>
  <c r="T16" i="51"/>
  <c r="Z16" i="51" s="1"/>
  <c r="P16" i="51"/>
  <c r="H16" i="51"/>
  <c r="D16" i="51"/>
  <c r="B16" i="51"/>
  <c r="T15" i="51"/>
  <c r="X15" i="51" s="1"/>
  <c r="Z15" i="51" s="1"/>
  <c r="P15" i="51"/>
  <c r="L15" i="51"/>
  <c r="N15" i="51" s="1"/>
  <c r="H15" i="51"/>
  <c r="D15" i="51"/>
  <c r="B15" i="51"/>
  <c r="T14" i="51"/>
  <c r="P14" i="51"/>
  <c r="X14" i="51" s="1"/>
  <c r="Z14" i="51" s="1"/>
  <c r="H14" i="51"/>
  <c r="D14" i="51"/>
  <c r="L14" i="51" s="1"/>
  <c r="N14" i="51" s="1"/>
  <c r="B14" i="51"/>
  <c r="T13" i="51"/>
  <c r="P13" i="51"/>
  <c r="H13" i="51"/>
  <c r="N13" i="51" s="1"/>
  <c r="D13" i="51"/>
  <c r="L13" i="51" s="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D21" i="50"/>
  <c r="B21" i="50"/>
  <c r="T20" i="50"/>
  <c r="P20" i="50"/>
  <c r="H20" i="50"/>
  <c r="N20" i="50" s="1"/>
  <c r="D20" i="50"/>
  <c r="T16" i="50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31" i="50" s="1"/>
  <c r="P12" i="50"/>
  <c r="R34" i="50" s="1"/>
  <c r="H12" i="50"/>
  <c r="J36" i="50" s="1"/>
  <c r="D12" i="50"/>
  <c r="F24" i="50" s="1"/>
  <c r="D5" i="50"/>
  <c r="D4" i="50"/>
  <c r="B39" i="49"/>
  <c r="B38" i="49"/>
  <c r="T34" i="49"/>
  <c r="Z34" i="49" s="1"/>
  <c r="P34" i="49"/>
  <c r="H34" i="49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31" i="49" s="1"/>
  <c r="P12" i="49"/>
  <c r="H12" i="49"/>
  <c r="D12" i="49"/>
  <c r="F31" i="49" s="1"/>
  <c r="D5" i="49"/>
  <c r="D4" i="49"/>
  <c r="Z65" i="48"/>
  <c r="X65" i="48"/>
  <c r="V65" i="48"/>
  <c r="N65" i="48"/>
  <c r="L65" i="48"/>
  <c r="T61" i="48"/>
  <c r="P61" i="48"/>
  <c r="X61" i="48" s="1"/>
  <c r="N61" i="48"/>
  <c r="H61" i="48"/>
  <c r="D61" i="48"/>
  <c r="L61" i="48" s="1"/>
  <c r="B61" i="48"/>
  <c r="H60" i="48"/>
  <c r="Z58" i="48"/>
  <c r="X58" i="48"/>
  <c r="N58" i="48"/>
  <c r="L58" i="48"/>
  <c r="B58" i="48"/>
  <c r="T57" i="48"/>
  <c r="Z57" i="48" s="1"/>
  <c r="R57" i="48"/>
  <c r="P57" i="48"/>
  <c r="H57" i="48"/>
  <c r="N57" i="48" s="1"/>
  <c r="D57" i="48"/>
  <c r="L57" i="48" s="1"/>
  <c r="B57" i="48"/>
  <c r="X56" i="48"/>
  <c r="Z56" i="48" s="1"/>
  <c r="L56" i="48"/>
  <c r="N56" i="48" s="1"/>
  <c r="F56" i="48"/>
  <c r="B56" i="48"/>
  <c r="T55" i="48"/>
  <c r="P55" i="48"/>
  <c r="X55" i="48" s="1"/>
  <c r="H55" i="48"/>
  <c r="D55" i="48"/>
  <c r="L55" i="48" s="1"/>
  <c r="N55" i="48" s="1"/>
  <c r="B55" i="48"/>
  <c r="Z54" i="48"/>
  <c r="X54" i="48"/>
  <c r="N54" i="48"/>
  <c r="L54" i="48"/>
  <c r="B54" i="48"/>
  <c r="Z53" i="48"/>
  <c r="X53" i="48"/>
  <c r="L53" i="48"/>
  <c r="N53" i="48" s="1"/>
  <c r="B53" i="48"/>
  <c r="T52" i="48"/>
  <c r="P52" i="48"/>
  <c r="X52" i="48" s="1"/>
  <c r="Z52" i="48" s="1"/>
  <c r="L52" i="48"/>
  <c r="N52" i="48" s="1"/>
  <c r="H52" i="48"/>
  <c r="D52" i="48"/>
  <c r="B52" i="48"/>
  <c r="Z51" i="48"/>
  <c r="X51" i="48"/>
  <c r="V51" i="48"/>
  <c r="N51" i="48"/>
  <c r="L51" i="48"/>
  <c r="B51" i="48"/>
  <c r="X50" i="48"/>
  <c r="Z50" i="48" s="1"/>
  <c r="N50" i="48"/>
  <c r="L50" i="48"/>
  <c r="B50" i="48"/>
  <c r="Z49" i="48"/>
  <c r="X49" i="48"/>
  <c r="N49" i="48"/>
  <c r="L49" i="48"/>
  <c r="B49" i="48"/>
  <c r="T48" i="48"/>
  <c r="P48" i="48"/>
  <c r="X48" i="48" s="1"/>
  <c r="Z48" i="48" s="1"/>
  <c r="N48" i="48"/>
  <c r="L48" i="48"/>
  <c r="H48" i="48"/>
  <c r="D48" i="48"/>
  <c r="B48" i="48"/>
  <c r="Z47" i="48"/>
  <c r="X47" i="48"/>
  <c r="V47" i="48"/>
  <c r="N47" i="48"/>
  <c r="L47" i="48"/>
  <c r="B47" i="48"/>
  <c r="X46" i="48"/>
  <c r="Z46" i="48" s="1"/>
  <c r="T46" i="48"/>
  <c r="P46" i="48"/>
  <c r="H46" i="48"/>
  <c r="D46" i="48"/>
  <c r="B46" i="48"/>
  <c r="X45" i="48"/>
  <c r="Z45" i="48" s="1"/>
  <c r="N45" i="48"/>
  <c r="L45" i="48"/>
  <c r="B45" i="48"/>
  <c r="T44" i="48"/>
  <c r="P44" i="48"/>
  <c r="H44" i="48"/>
  <c r="D44" i="48"/>
  <c r="L44" i="48" s="1"/>
  <c r="B44" i="48"/>
  <c r="Z43" i="48"/>
  <c r="X43" i="48"/>
  <c r="N43" i="48"/>
  <c r="L43" i="48"/>
  <c r="B43" i="48"/>
  <c r="Z42" i="48"/>
  <c r="X42" i="48"/>
  <c r="N42" i="48"/>
  <c r="L42" i="48"/>
  <c r="B42" i="48"/>
  <c r="T41" i="48"/>
  <c r="R41" i="48"/>
  <c r="P41" i="48"/>
  <c r="H41" i="48"/>
  <c r="N41" i="48" s="1"/>
  <c r="D41" i="48"/>
  <c r="L41" i="48" s="1"/>
  <c r="B41" i="48"/>
  <c r="X40" i="48"/>
  <c r="Z40" i="48" s="1"/>
  <c r="L40" i="48"/>
  <c r="N40" i="48" s="1"/>
  <c r="F40" i="48"/>
  <c r="B40" i="48"/>
  <c r="T39" i="48"/>
  <c r="P39" i="48"/>
  <c r="X39" i="48" s="1"/>
  <c r="N39" i="48"/>
  <c r="H39" i="48"/>
  <c r="D39" i="48"/>
  <c r="L39" i="48" s="1"/>
  <c r="B39" i="48"/>
  <c r="Z38" i="48"/>
  <c r="X38" i="48"/>
  <c r="N38" i="48"/>
  <c r="L38" i="48"/>
  <c r="B38" i="48"/>
  <c r="Z37" i="48"/>
  <c r="T37" i="48"/>
  <c r="P37" i="48"/>
  <c r="X37" i="48" s="1"/>
  <c r="N37" i="48"/>
  <c r="L37" i="48"/>
  <c r="H37" i="48"/>
  <c r="D37" i="48"/>
  <c r="B37" i="48"/>
  <c r="X36" i="48"/>
  <c r="Z36" i="48" s="1"/>
  <c r="R36" i="48"/>
  <c r="N36" i="48"/>
  <c r="L36" i="48"/>
  <c r="B36" i="48"/>
  <c r="Z35" i="48"/>
  <c r="X35" i="48"/>
  <c r="V35" i="48"/>
  <c r="N35" i="48"/>
  <c r="L35" i="48"/>
  <c r="B35" i="48"/>
  <c r="X34" i="48"/>
  <c r="Z34" i="48" s="1"/>
  <c r="N34" i="48"/>
  <c r="L34" i="48"/>
  <c r="B34" i="48"/>
  <c r="Z33" i="48"/>
  <c r="X33" i="48"/>
  <c r="N33" i="48"/>
  <c r="L33" i="48"/>
  <c r="B33" i="48"/>
  <c r="Z32" i="48"/>
  <c r="X32" i="48"/>
  <c r="L32" i="48"/>
  <c r="N32" i="48" s="1"/>
  <c r="B32" i="48"/>
  <c r="Z31" i="48"/>
  <c r="X31" i="48"/>
  <c r="N31" i="48"/>
  <c r="L31" i="48"/>
  <c r="B31" i="48"/>
  <c r="T30" i="48"/>
  <c r="Z30" i="48" s="1"/>
  <c r="P30" i="48"/>
  <c r="X30" i="48" s="1"/>
  <c r="H30" i="48"/>
  <c r="D30" i="48"/>
  <c r="L30" i="48" s="1"/>
  <c r="N30" i="48" s="1"/>
  <c r="B30" i="48"/>
  <c r="Z29" i="48"/>
  <c r="X29" i="48"/>
  <c r="L29" i="48"/>
  <c r="N29" i="48" s="1"/>
  <c r="B29" i="48"/>
  <c r="Z28" i="48"/>
  <c r="X28" i="48"/>
  <c r="L28" i="48"/>
  <c r="N28" i="48" s="1"/>
  <c r="F28" i="48"/>
  <c r="B28" i="48"/>
  <c r="Z27" i="48"/>
  <c r="X27" i="48"/>
  <c r="N27" i="48"/>
  <c r="L27" i="48"/>
  <c r="B27" i="48"/>
  <c r="Z26" i="48"/>
  <c r="X26" i="48"/>
  <c r="L26" i="48"/>
  <c r="N26" i="48" s="1"/>
  <c r="B26" i="48"/>
  <c r="X25" i="48"/>
  <c r="Z25" i="48" s="1"/>
  <c r="N25" i="48"/>
  <c r="L25" i="48"/>
  <c r="B25" i="48"/>
  <c r="X24" i="48"/>
  <c r="Z24" i="48" s="1"/>
  <c r="R24" i="48"/>
  <c r="N24" i="48"/>
  <c r="L24" i="48"/>
  <c r="B24" i="48"/>
  <c r="Z23" i="48"/>
  <c r="X23" i="48"/>
  <c r="V23" i="48"/>
  <c r="N23" i="48"/>
  <c r="L23" i="48"/>
  <c r="B23" i="48"/>
  <c r="X22" i="48"/>
  <c r="Z22" i="48" s="1"/>
  <c r="N22" i="48"/>
  <c r="L22" i="48"/>
  <c r="B22" i="48"/>
  <c r="Z21" i="48"/>
  <c r="X21" i="48"/>
  <c r="L21" i="48"/>
  <c r="N21" i="48" s="1"/>
  <c r="B21" i="48"/>
  <c r="T20" i="48"/>
  <c r="P20" i="48"/>
  <c r="X20" i="48" s="1"/>
  <c r="Z20" i="48" s="1"/>
  <c r="L20" i="48"/>
  <c r="N20" i="48" s="1"/>
  <c r="H20" i="48"/>
  <c r="D20" i="48"/>
  <c r="B20" i="48"/>
  <c r="Z19" i="48"/>
  <c r="X19" i="48"/>
  <c r="V19" i="48"/>
  <c r="T19" i="48"/>
  <c r="P19" i="48"/>
  <c r="H19" i="48"/>
  <c r="F19" i="48"/>
  <c r="D19" i="48"/>
  <c r="P17" i="48"/>
  <c r="Z15" i="48"/>
  <c r="X15" i="48"/>
  <c r="V15" i="48"/>
  <c r="T15" i="48"/>
  <c r="P15" i="48"/>
  <c r="H15" i="48"/>
  <c r="N15" i="48" s="1"/>
  <c r="F15" i="48"/>
  <c r="D15" i="48"/>
  <c r="T13" i="48"/>
  <c r="P13" i="48"/>
  <c r="X13" i="48" s="1"/>
  <c r="Z13" i="48" s="1"/>
  <c r="H13" i="48"/>
  <c r="D13" i="48"/>
  <c r="D12" i="48" s="1"/>
  <c r="B13" i="48"/>
  <c r="T12" i="48"/>
  <c r="V56" i="48" s="1"/>
  <c r="P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X22" i="47" s="1"/>
  <c r="H22" i="47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L16" i="47" s="1"/>
  <c r="B16" i="47"/>
  <c r="T15" i="47"/>
  <c r="Z15" i="47" s="1"/>
  <c r="P15" i="47"/>
  <c r="H15" i="47"/>
  <c r="N15" i="47" s="1"/>
  <c r="D15" i="47"/>
  <c r="T13" i="47"/>
  <c r="Z13" i="47" s="1"/>
  <c r="P13" i="47"/>
  <c r="H13" i="47"/>
  <c r="D13" i="47"/>
  <c r="B13" i="47"/>
  <c r="T12" i="47"/>
  <c r="V20" i="47" s="1"/>
  <c r="P12" i="47"/>
  <c r="R22" i="47" s="1"/>
  <c r="H12" i="47"/>
  <c r="D12" i="47"/>
  <c r="F20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X25" i="46" s="1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D15" i="46"/>
  <c r="T13" i="46"/>
  <c r="Z13" i="46" s="1"/>
  <c r="P13" i="46"/>
  <c r="H13" i="46"/>
  <c r="N13" i="46" s="1"/>
  <c r="D13" i="46"/>
  <c r="B13" i="46"/>
  <c r="T12" i="46"/>
  <c r="V18" i="46" s="1"/>
  <c r="P12" i="46"/>
  <c r="R36" i="46" s="1"/>
  <c r="H12" i="46"/>
  <c r="J34" i="46" s="1"/>
  <c r="D12" i="46"/>
  <c r="F20" i="46" s="1"/>
  <c r="D5" i="46"/>
  <c r="D4" i="46"/>
  <c r="Z93" i="45"/>
  <c r="X93" i="45"/>
  <c r="N93" i="45"/>
  <c r="L93" i="45"/>
  <c r="T89" i="45"/>
  <c r="Z89" i="45" s="1"/>
  <c r="P89" i="45"/>
  <c r="X89" i="45" s="1"/>
  <c r="N89" i="45"/>
  <c r="H89" i="45"/>
  <c r="D89" i="45"/>
  <c r="L89" i="45" s="1"/>
  <c r="Z87" i="45"/>
  <c r="X87" i="45"/>
  <c r="N87" i="45"/>
  <c r="L87" i="45"/>
  <c r="B87" i="45"/>
  <c r="Z86" i="45"/>
  <c r="X86" i="45"/>
  <c r="N86" i="45"/>
  <c r="L86" i="45"/>
  <c r="B86" i="45"/>
  <c r="Z85" i="45"/>
  <c r="T85" i="45"/>
  <c r="P85" i="45"/>
  <c r="X85" i="45" s="1"/>
  <c r="N85" i="45"/>
  <c r="L85" i="45"/>
  <c r="H85" i="45"/>
  <c r="D85" i="45"/>
  <c r="B85" i="45"/>
  <c r="X84" i="45"/>
  <c r="Z84" i="45" s="1"/>
  <c r="N84" i="45"/>
  <c r="L84" i="45"/>
  <c r="B84" i="45"/>
  <c r="Z83" i="45"/>
  <c r="X83" i="45"/>
  <c r="T83" i="45"/>
  <c r="P83" i="45"/>
  <c r="H83" i="45"/>
  <c r="N83" i="45" s="1"/>
  <c r="D83" i="45"/>
  <c r="B83" i="45"/>
  <c r="Z82" i="45"/>
  <c r="X82" i="45"/>
  <c r="L82" i="45"/>
  <c r="N82" i="45" s="1"/>
  <c r="B82" i="45"/>
  <c r="T81" i="45"/>
  <c r="P81" i="45"/>
  <c r="H81" i="45"/>
  <c r="D81" i="45"/>
  <c r="L81" i="45" s="1"/>
  <c r="B81" i="45"/>
  <c r="Z80" i="45"/>
  <c r="X80" i="45"/>
  <c r="N80" i="45"/>
  <c r="L80" i="45"/>
  <c r="B80" i="45"/>
  <c r="Z79" i="45"/>
  <c r="X79" i="45"/>
  <c r="N79" i="45"/>
  <c r="L79" i="45"/>
  <c r="B79" i="45"/>
  <c r="Z78" i="45"/>
  <c r="X78" i="45"/>
  <c r="L78" i="45"/>
  <c r="N78" i="45" s="1"/>
  <c r="B78" i="45"/>
  <c r="X77" i="45"/>
  <c r="Z77" i="45" s="1"/>
  <c r="N77" i="45"/>
  <c r="L77" i="45"/>
  <c r="B77" i="45"/>
  <c r="X76" i="45"/>
  <c r="Z76" i="45" s="1"/>
  <c r="N76" i="45"/>
  <c r="L76" i="45"/>
  <c r="B76" i="45"/>
  <c r="Z75" i="45"/>
  <c r="X75" i="45"/>
  <c r="N75" i="45"/>
  <c r="L75" i="45"/>
  <c r="B75" i="45"/>
  <c r="X74" i="45"/>
  <c r="Z74" i="45" s="1"/>
  <c r="N74" i="45"/>
  <c r="L74" i="45"/>
  <c r="B74" i="45"/>
  <c r="Z73" i="45"/>
  <c r="X73" i="45"/>
  <c r="N73" i="45"/>
  <c r="L73" i="45"/>
  <c r="B73" i="45"/>
  <c r="T72" i="45"/>
  <c r="P72" i="45"/>
  <c r="X72" i="45" s="1"/>
  <c r="Z72" i="45" s="1"/>
  <c r="L72" i="45"/>
  <c r="N72" i="45" s="1"/>
  <c r="H72" i="45"/>
  <c r="D72" i="45"/>
  <c r="B72" i="45"/>
  <c r="Z71" i="45"/>
  <c r="X71" i="45"/>
  <c r="V71" i="45"/>
  <c r="N71" i="45"/>
  <c r="L71" i="45"/>
  <c r="B71" i="45"/>
  <c r="X70" i="45"/>
  <c r="Z70" i="45" s="1"/>
  <c r="T70" i="45"/>
  <c r="P70" i="45"/>
  <c r="H70" i="45"/>
  <c r="D70" i="45"/>
  <c r="B70" i="45"/>
  <c r="X69" i="45"/>
  <c r="Z69" i="45" s="1"/>
  <c r="N69" i="45"/>
  <c r="L69" i="45"/>
  <c r="B69" i="45"/>
  <c r="X68" i="45"/>
  <c r="Z68" i="45" s="1"/>
  <c r="N68" i="45"/>
  <c r="L68" i="45"/>
  <c r="B68" i="45"/>
  <c r="Z67" i="45"/>
  <c r="X67" i="45"/>
  <c r="N67" i="45"/>
  <c r="L67" i="45"/>
  <c r="B67" i="45"/>
  <c r="X66" i="45"/>
  <c r="Z66" i="45" s="1"/>
  <c r="L66" i="45"/>
  <c r="N66" i="45" s="1"/>
  <c r="B66" i="45"/>
  <c r="Z65" i="45"/>
  <c r="T65" i="45"/>
  <c r="P65" i="45"/>
  <c r="X65" i="45" s="1"/>
  <c r="N65" i="45"/>
  <c r="L65" i="45"/>
  <c r="H65" i="45"/>
  <c r="D65" i="45"/>
  <c r="B65" i="45"/>
  <c r="X64" i="45"/>
  <c r="Z64" i="45" s="1"/>
  <c r="N64" i="45"/>
  <c r="L64" i="45"/>
  <c r="B64" i="45"/>
  <c r="Z63" i="45"/>
  <c r="X63" i="45"/>
  <c r="N63" i="45"/>
  <c r="L63" i="45"/>
  <c r="B63" i="45"/>
  <c r="X62" i="45"/>
  <c r="Z62" i="45" s="1"/>
  <c r="N62" i="45"/>
  <c r="L62" i="45"/>
  <c r="B62" i="45"/>
  <c r="Z61" i="45"/>
  <c r="T61" i="45"/>
  <c r="P61" i="45"/>
  <c r="X61" i="45" s="1"/>
  <c r="N61" i="45"/>
  <c r="L61" i="45"/>
  <c r="H61" i="45"/>
  <c r="D61" i="45"/>
  <c r="B61" i="45"/>
  <c r="X60" i="45"/>
  <c r="Z60" i="45" s="1"/>
  <c r="R60" i="45"/>
  <c r="N60" i="45"/>
  <c r="L60" i="45"/>
  <c r="B60" i="45"/>
  <c r="Z59" i="45"/>
  <c r="X59" i="45"/>
  <c r="V59" i="45"/>
  <c r="T59" i="45"/>
  <c r="P59" i="45"/>
  <c r="H59" i="45"/>
  <c r="D59" i="45"/>
  <c r="B59" i="45"/>
  <c r="Z58" i="45"/>
  <c r="X58" i="45"/>
  <c r="R58" i="45"/>
  <c r="L58" i="45"/>
  <c r="N58" i="45" s="1"/>
  <c r="B58" i="45"/>
  <c r="T57" i="45"/>
  <c r="P57" i="45"/>
  <c r="H57" i="45"/>
  <c r="D57" i="45"/>
  <c r="L57" i="45" s="1"/>
  <c r="B57" i="45"/>
  <c r="Z56" i="45"/>
  <c r="X56" i="45"/>
  <c r="N56" i="45"/>
  <c r="L56" i="45"/>
  <c r="B56" i="45"/>
  <c r="T55" i="45"/>
  <c r="Z55" i="45" s="1"/>
  <c r="P55" i="45"/>
  <c r="X55" i="45" s="1"/>
  <c r="N55" i="45"/>
  <c r="H55" i="45"/>
  <c r="D55" i="45"/>
  <c r="L55" i="45" s="1"/>
  <c r="B55" i="45"/>
  <c r="X54" i="45"/>
  <c r="Z54" i="45" s="1"/>
  <c r="N54" i="45"/>
  <c r="L54" i="45"/>
  <c r="B54" i="45"/>
  <c r="Z53" i="45"/>
  <c r="T53" i="45"/>
  <c r="P53" i="45"/>
  <c r="X53" i="45" s="1"/>
  <c r="N53" i="45"/>
  <c r="L53" i="45"/>
  <c r="H53" i="45"/>
  <c r="D53" i="45"/>
  <c r="B53" i="45"/>
  <c r="Z52" i="45"/>
  <c r="X52" i="45"/>
  <c r="R52" i="45"/>
  <c r="N52" i="45"/>
  <c r="L52" i="45"/>
  <c r="B52" i="45"/>
  <c r="Z51" i="45"/>
  <c r="X51" i="45"/>
  <c r="V51" i="45"/>
  <c r="T51" i="45"/>
  <c r="P51" i="45"/>
  <c r="H51" i="45"/>
  <c r="N51" i="45" s="1"/>
  <c r="D51" i="45"/>
  <c r="B51" i="45"/>
  <c r="Z50" i="45"/>
  <c r="X50" i="45"/>
  <c r="R50" i="45"/>
  <c r="L50" i="45"/>
  <c r="N50" i="45" s="1"/>
  <c r="B50" i="45"/>
  <c r="T49" i="45"/>
  <c r="P49" i="45"/>
  <c r="H49" i="45"/>
  <c r="D49" i="45"/>
  <c r="L49" i="45" s="1"/>
  <c r="B49" i="45"/>
  <c r="Z48" i="45"/>
  <c r="X48" i="45"/>
  <c r="L48" i="45"/>
  <c r="N48" i="45" s="1"/>
  <c r="B48" i="45"/>
  <c r="T47" i="45"/>
  <c r="Z47" i="45" s="1"/>
  <c r="P47" i="45"/>
  <c r="X47" i="45" s="1"/>
  <c r="H47" i="45"/>
  <c r="D47" i="45"/>
  <c r="L47" i="45" s="1"/>
  <c r="N47" i="45" s="1"/>
  <c r="B47" i="45"/>
  <c r="X46" i="45"/>
  <c r="Z46" i="45" s="1"/>
  <c r="N46" i="45"/>
  <c r="L46" i="45"/>
  <c r="B46" i="45"/>
  <c r="T45" i="45"/>
  <c r="P45" i="45"/>
  <c r="X45" i="45" s="1"/>
  <c r="Z45" i="45" s="1"/>
  <c r="N45" i="45"/>
  <c r="L45" i="45"/>
  <c r="H45" i="45"/>
  <c r="D45" i="45"/>
  <c r="B45" i="45"/>
  <c r="X44" i="45"/>
  <c r="Z44" i="45" s="1"/>
  <c r="V44" i="45"/>
  <c r="N44" i="45"/>
  <c r="L44" i="45"/>
  <c r="B44" i="45"/>
  <c r="Z43" i="45"/>
  <c r="X43" i="45"/>
  <c r="V43" i="45"/>
  <c r="T43" i="45"/>
  <c r="P43" i="45"/>
  <c r="H43" i="45"/>
  <c r="D43" i="45"/>
  <c r="B43" i="45"/>
  <c r="Z42" i="45"/>
  <c r="X42" i="45"/>
  <c r="N42" i="45"/>
  <c r="L42" i="45"/>
  <c r="B42" i="45"/>
  <c r="T41" i="45"/>
  <c r="P41" i="45"/>
  <c r="H41" i="45"/>
  <c r="D41" i="45"/>
  <c r="L41" i="45" s="1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L38" i="45"/>
  <c r="N38" i="45" s="1"/>
  <c r="B38" i="45"/>
  <c r="X37" i="45"/>
  <c r="Z37" i="45" s="1"/>
  <c r="V37" i="45"/>
  <c r="N37" i="45"/>
  <c r="L37" i="45"/>
  <c r="B37" i="45"/>
  <c r="Z36" i="45"/>
  <c r="X36" i="45"/>
  <c r="V36" i="45"/>
  <c r="N36" i="45"/>
  <c r="L36" i="45"/>
  <c r="B36" i="45"/>
  <c r="X35" i="45"/>
  <c r="Z35" i="45" s="1"/>
  <c r="N35" i="45"/>
  <c r="L35" i="45"/>
  <c r="B35" i="45"/>
  <c r="X34" i="45"/>
  <c r="Z34" i="45" s="1"/>
  <c r="T34" i="45"/>
  <c r="P34" i="45"/>
  <c r="N34" i="45"/>
  <c r="L34" i="45"/>
  <c r="H34" i="45"/>
  <c r="D34" i="45"/>
  <c r="B34" i="45"/>
  <c r="X33" i="45"/>
  <c r="Z33" i="45" s="1"/>
  <c r="N33" i="45"/>
  <c r="L33" i="45"/>
  <c r="B33" i="45"/>
  <c r="X32" i="45"/>
  <c r="Z32" i="45" s="1"/>
  <c r="V32" i="45"/>
  <c r="N32" i="45"/>
  <c r="L32" i="45"/>
  <c r="B32" i="45"/>
  <c r="Z31" i="45"/>
  <c r="X31" i="45"/>
  <c r="V31" i="45"/>
  <c r="N31" i="45"/>
  <c r="L31" i="45"/>
  <c r="B31" i="45"/>
  <c r="X30" i="45"/>
  <c r="Z30" i="45" s="1"/>
  <c r="N30" i="45"/>
  <c r="L30" i="45"/>
  <c r="B30" i="45"/>
  <c r="Z29" i="45"/>
  <c r="X29" i="45"/>
  <c r="L29" i="45"/>
  <c r="N29" i="45" s="1"/>
  <c r="B29" i="45"/>
  <c r="Z28" i="45"/>
  <c r="X28" i="45"/>
  <c r="N28" i="45"/>
  <c r="L28" i="45"/>
  <c r="B28" i="45"/>
  <c r="Z27" i="45"/>
  <c r="X27" i="45"/>
  <c r="N27" i="45"/>
  <c r="L27" i="45"/>
  <c r="B27" i="45"/>
  <c r="Z26" i="45"/>
  <c r="X26" i="45"/>
  <c r="R26" i="45"/>
  <c r="N26" i="45"/>
  <c r="L26" i="45"/>
  <c r="B26" i="45"/>
  <c r="X25" i="45"/>
  <c r="Z25" i="45" s="1"/>
  <c r="V25" i="45"/>
  <c r="R25" i="45"/>
  <c r="N25" i="45"/>
  <c r="L25" i="45"/>
  <c r="B25" i="45"/>
  <c r="T24" i="45"/>
  <c r="P24" i="45"/>
  <c r="H24" i="45"/>
  <c r="D24" i="45"/>
  <c r="B24" i="45"/>
  <c r="T23" i="45"/>
  <c r="P23" i="45"/>
  <c r="X23" i="45" s="1"/>
  <c r="H23" i="45"/>
  <c r="D23" i="45"/>
  <c r="L23" i="45" s="1"/>
  <c r="N23" i="45" s="1"/>
  <c r="Z19" i="45"/>
  <c r="X19" i="45"/>
  <c r="N19" i="45"/>
  <c r="L19" i="45"/>
  <c r="B19" i="45"/>
  <c r="Z18" i="45"/>
  <c r="X18" i="45"/>
  <c r="V18" i="45"/>
  <c r="N18" i="45"/>
  <c r="L18" i="45"/>
  <c r="B18" i="45"/>
  <c r="V17" i="45"/>
  <c r="T17" i="45"/>
  <c r="X17" i="45" s="1"/>
  <c r="P17" i="45"/>
  <c r="H17" i="45"/>
  <c r="D17" i="45"/>
  <c r="L17" i="45" s="1"/>
  <c r="Z15" i="45"/>
  <c r="X15" i="45"/>
  <c r="T15" i="45"/>
  <c r="P15" i="45"/>
  <c r="H15" i="45"/>
  <c r="D15" i="45"/>
  <c r="L15" i="45" s="1"/>
  <c r="B15" i="45"/>
  <c r="Z14" i="45"/>
  <c r="X14" i="45"/>
  <c r="T14" i="45"/>
  <c r="P14" i="45"/>
  <c r="H14" i="45"/>
  <c r="N14" i="45" s="1"/>
  <c r="D14" i="45"/>
  <c r="L14" i="45" s="1"/>
  <c r="B14" i="45"/>
  <c r="T13" i="45"/>
  <c r="P13" i="45"/>
  <c r="X13" i="45" s="1"/>
  <c r="Z13" i="45" s="1"/>
  <c r="H13" i="45"/>
  <c r="D13" i="45"/>
  <c r="B13" i="45"/>
  <c r="T12" i="45"/>
  <c r="P12" i="45"/>
  <c r="R78" i="45" s="1"/>
  <c r="D4" i="45"/>
  <c r="B39" i="44"/>
  <c r="B38" i="44"/>
  <c r="T34" i="44"/>
  <c r="Z34" i="44" s="1"/>
  <c r="P34" i="44"/>
  <c r="H34" i="44"/>
  <c r="N34" i="44" s="1"/>
  <c r="D34" i="44"/>
  <c r="L34" i="44" s="1"/>
  <c r="T33" i="44"/>
  <c r="Z33" i="44" s="1"/>
  <c r="P33" i="44"/>
  <c r="H33" i="44"/>
  <c r="N33" i="44" s="1"/>
  <c r="D33" i="44"/>
  <c r="T29" i="44"/>
  <c r="Z29" i="44" s="1"/>
  <c r="P29" i="44"/>
  <c r="H29" i="44"/>
  <c r="D29" i="44"/>
  <c r="T25" i="44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P22" i="44"/>
  <c r="H22" i="44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P12" i="44"/>
  <c r="R31" i="44" s="1"/>
  <c r="H12" i="44"/>
  <c r="J33" i="44" s="1"/>
  <c r="D12" i="44"/>
  <c r="F33" i="44" s="1"/>
  <c r="D5" i="44"/>
  <c r="D4" i="44"/>
  <c r="B39" i="43"/>
  <c r="B38" i="43"/>
  <c r="T34" i="43"/>
  <c r="Z34" i="43" s="1"/>
  <c r="P34" i="43"/>
  <c r="H34" i="43"/>
  <c r="N34" i="43" s="1"/>
  <c r="D34" i="43"/>
  <c r="T33" i="43"/>
  <c r="P33" i="43"/>
  <c r="H33" i="43"/>
  <c r="N33" i="43" s="1"/>
  <c r="D33" i="43"/>
  <c r="T29" i="43"/>
  <c r="Z29" i="43" s="1"/>
  <c r="P29" i="43"/>
  <c r="H29" i="43"/>
  <c r="N29" i="43" s="1"/>
  <c r="D29" i="43"/>
  <c r="T25" i="43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P12" i="43"/>
  <c r="R21" i="43" s="1"/>
  <c r="H12" i="43"/>
  <c r="J36" i="43" s="1"/>
  <c r="D12" i="43"/>
  <c r="F29" i="43" s="1"/>
  <c r="D5" i="43"/>
  <c r="D4" i="43"/>
  <c r="Z104" i="42"/>
  <c r="X104" i="42"/>
  <c r="V104" i="42"/>
  <c r="N104" i="42"/>
  <c r="L104" i="42"/>
  <c r="Z100" i="42"/>
  <c r="X100" i="42"/>
  <c r="T100" i="42"/>
  <c r="P100" i="42"/>
  <c r="N100" i="42"/>
  <c r="H100" i="42"/>
  <c r="L100" i="42" s="1"/>
  <c r="D100" i="42"/>
  <c r="B100" i="42"/>
  <c r="T99" i="42"/>
  <c r="P99" i="42"/>
  <c r="H99" i="42"/>
  <c r="D99" i="42"/>
  <c r="B99" i="42"/>
  <c r="T98" i="42"/>
  <c r="P98" i="42"/>
  <c r="X98" i="42" s="1"/>
  <c r="N98" i="42"/>
  <c r="L98" i="42"/>
  <c r="H98" i="42"/>
  <c r="D98" i="42"/>
  <c r="D97" i="42" s="1"/>
  <c r="B98" i="42"/>
  <c r="P97" i="42"/>
  <c r="X95" i="42"/>
  <c r="Z95" i="42" s="1"/>
  <c r="L95" i="42"/>
  <c r="N95" i="42" s="1"/>
  <c r="B95" i="42"/>
  <c r="T94" i="42"/>
  <c r="P94" i="42"/>
  <c r="X94" i="42" s="1"/>
  <c r="Z94" i="42" s="1"/>
  <c r="H94" i="42"/>
  <c r="D94" i="42"/>
  <c r="L94" i="42" s="1"/>
  <c r="B94" i="42"/>
  <c r="Z93" i="42"/>
  <c r="X93" i="42"/>
  <c r="N93" i="42"/>
  <c r="L93" i="42"/>
  <c r="B93" i="42"/>
  <c r="Z92" i="42"/>
  <c r="X92" i="42"/>
  <c r="N92" i="42"/>
  <c r="L92" i="42"/>
  <c r="B92" i="42"/>
  <c r="T91" i="42"/>
  <c r="P91" i="42"/>
  <c r="X91" i="42" s="1"/>
  <c r="N91" i="42"/>
  <c r="H91" i="42"/>
  <c r="D91" i="42"/>
  <c r="L91" i="42" s="1"/>
  <c r="B91" i="42"/>
  <c r="Z90" i="42"/>
  <c r="X90" i="42"/>
  <c r="N90" i="42"/>
  <c r="L90" i="42"/>
  <c r="B90" i="42"/>
  <c r="T89" i="42"/>
  <c r="P89" i="42"/>
  <c r="X89" i="42" s="1"/>
  <c r="Z89" i="42" s="1"/>
  <c r="N89" i="42"/>
  <c r="L89" i="42"/>
  <c r="H89" i="42"/>
  <c r="D89" i="42"/>
  <c r="B89" i="42"/>
  <c r="Z88" i="42"/>
  <c r="X88" i="42"/>
  <c r="N88" i="42"/>
  <c r="L88" i="42"/>
  <c r="B88" i="42"/>
  <c r="X87" i="42"/>
  <c r="Z87" i="42" s="1"/>
  <c r="T87" i="42"/>
  <c r="P87" i="42"/>
  <c r="H87" i="42"/>
  <c r="D87" i="42"/>
  <c r="B87" i="42"/>
  <c r="Z86" i="42"/>
  <c r="X86" i="42"/>
  <c r="V86" i="42"/>
  <c r="N86" i="42"/>
  <c r="L86" i="42"/>
  <c r="B86" i="42"/>
  <c r="Z85" i="42"/>
  <c r="X85" i="42"/>
  <c r="N85" i="42"/>
  <c r="L85" i="42"/>
  <c r="B85" i="42"/>
  <c r="Z84" i="42"/>
  <c r="X84" i="42"/>
  <c r="N84" i="42"/>
  <c r="L84" i="42"/>
  <c r="B84" i="42"/>
  <c r="X83" i="42"/>
  <c r="Z83" i="42" s="1"/>
  <c r="L83" i="42"/>
  <c r="N83" i="42" s="1"/>
  <c r="B83" i="42"/>
  <c r="Z82" i="42"/>
  <c r="X82" i="42"/>
  <c r="N82" i="42"/>
  <c r="L82" i="42"/>
  <c r="B82" i="42"/>
  <c r="Z81" i="42"/>
  <c r="X81" i="42"/>
  <c r="N81" i="42"/>
  <c r="L81" i="42"/>
  <c r="B81" i="42"/>
  <c r="Z80" i="42"/>
  <c r="X80" i="42"/>
  <c r="N80" i="42"/>
  <c r="L80" i="42"/>
  <c r="B80" i="42"/>
  <c r="X79" i="42"/>
  <c r="Z79" i="42" s="1"/>
  <c r="N79" i="42"/>
  <c r="L79" i="42"/>
  <c r="B79" i="42"/>
  <c r="Z78" i="42"/>
  <c r="X78" i="42"/>
  <c r="V78" i="42"/>
  <c r="N78" i="42"/>
  <c r="L78" i="42"/>
  <c r="B78" i="42"/>
  <c r="X77" i="42"/>
  <c r="T77" i="42"/>
  <c r="P77" i="42"/>
  <c r="H77" i="42"/>
  <c r="D77" i="42"/>
  <c r="L77" i="42" s="1"/>
  <c r="B77" i="42"/>
  <c r="Z76" i="42"/>
  <c r="X76" i="42"/>
  <c r="N76" i="42"/>
  <c r="L76" i="42"/>
  <c r="B76" i="42"/>
  <c r="T75" i="42"/>
  <c r="P75" i="42"/>
  <c r="N75" i="42"/>
  <c r="H75" i="42"/>
  <c r="D75" i="42"/>
  <c r="L75" i="42" s="1"/>
  <c r="B75" i="42"/>
  <c r="Z74" i="42"/>
  <c r="X74" i="42"/>
  <c r="N74" i="42"/>
  <c r="L74" i="42"/>
  <c r="B74" i="42"/>
  <c r="Z73" i="42"/>
  <c r="X73" i="42"/>
  <c r="N73" i="42"/>
  <c r="L73" i="42"/>
  <c r="B73" i="42"/>
  <c r="Z72" i="42"/>
  <c r="X72" i="42"/>
  <c r="N72" i="42"/>
  <c r="L72" i="42"/>
  <c r="B72" i="42"/>
  <c r="X71" i="42"/>
  <c r="Z71" i="42" s="1"/>
  <c r="L71" i="42"/>
  <c r="N71" i="42" s="1"/>
  <c r="B71" i="42"/>
  <c r="T70" i="42"/>
  <c r="P70" i="42"/>
  <c r="X70" i="42" s="1"/>
  <c r="Z70" i="42" s="1"/>
  <c r="H70" i="42"/>
  <c r="D70" i="42"/>
  <c r="L70" i="42" s="1"/>
  <c r="B70" i="42"/>
  <c r="Z69" i="42"/>
  <c r="X69" i="42"/>
  <c r="N69" i="42"/>
  <c r="L69" i="42"/>
  <c r="B69" i="42"/>
  <c r="T68" i="42"/>
  <c r="Z68" i="42" s="1"/>
  <c r="P68" i="42"/>
  <c r="X68" i="42" s="1"/>
  <c r="N68" i="42"/>
  <c r="L68" i="42"/>
  <c r="H68" i="42"/>
  <c r="D68" i="42"/>
  <c r="B68" i="42"/>
  <c r="X67" i="42"/>
  <c r="Z67" i="42" s="1"/>
  <c r="L67" i="42"/>
  <c r="N67" i="42" s="1"/>
  <c r="B67" i="42"/>
  <c r="Z66" i="42"/>
  <c r="X66" i="42"/>
  <c r="N66" i="42"/>
  <c r="L66" i="42"/>
  <c r="B66" i="42"/>
  <c r="Z65" i="42"/>
  <c r="X65" i="42"/>
  <c r="N65" i="42"/>
  <c r="L65" i="42"/>
  <c r="B65" i="42"/>
  <c r="T64" i="42"/>
  <c r="Z64" i="42" s="1"/>
  <c r="P64" i="42"/>
  <c r="X64" i="42" s="1"/>
  <c r="N64" i="42"/>
  <c r="L64" i="42"/>
  <c r="H64" i="42"/>
  <c r="D64" i="42"/>
  <c r="B64" i="42"/>
  <c r="X63" i="42"/>
  <c r="Z63" i="42" s="1"/>
  <c r="N63" i="42"/>
  <c r="L63" i="42"/>
  <c r="B63" i="42"/>
  <c r="Z62" i="42"/>
  <c r="X62" i="42"/>
  <c r="T62" i="42"/>
  <c r="P62" i="42"/>
  <c r="N62" i="42"/>
  <c r="H62" i="42"/>
  <c r="L62" i="42" s="1"/>
  <c r="D62" i="42"/>
  <c r="B62" i="42"/>
  <c r="X61" i="42"/>
  <c r="Z61" i="42" s="1"/>
  <c r="N61" i="42"/>
  <c r="L61" i="42"/>
  <c r="B61" i="42"/>
  <c r="T60" i="42"/>
  <c r="X60" i="42" s="1"/>
  <c r="Z60" i="42" s="1"/>
  <c r="P60" i="42"/>
  <c r="H60" i="42"/>
  <c r="N60" i="42" s="1"/>
  <c r="D60" i="42"/>
  <c r="L60" i="42" s="1"/>
  <c r="B60" i="42"/>
  <c r="X59" i="42"/>
  <c r="Z59" i="42" s="1"/>
  <c r="L59" i="42"/>
  <c r="N59" i="42" s="1"/>
  <c r="B59" i="42"/>
  <c r="V58" i="42"/>
  <c r="T58" i="42"/>
  <c r="Z58" i="42" s="1"/>
  <c r="P58" i="42"/>
  <c r="X58" i="42" s="1"/>
  <c r="H58" i="42"/>
  <c r="D58" i="42"/>
  <c r="L58" i="42" s="1"/>
  <c r="B58" i="42"/>
  <c r="Z57" i="42"/>
  <c r="X57" i="42"/>
  <c r="L57" i="42"/>
  <c r="N57" i="42" s="1"/>
  <c r="B57" i="42"/>
  <c r="T56" i="42"/>
  <c r="P56" i="42"/>
  <c r="X56" i="42" s="1"/>
  <c r="N56" i="42"/>
  <c r="L56" i="42"/>
  <c r="H56" i="42"/>
  <c r="D56" i="42"/>
  <c r="B56" i="42"/>
  <c r="X55" i="42"/>
  <c r="Z55" i="42" s="1"/>
  <c r="N55" i="42"/>
  <c r="L55" i="42"/>
  <c r="B55" i="42"/>
  <c r="Z54" i="42"/>
  <c r="X54" i="42"/>
  <c r="T54" i="42"/>
  <c r="P54" i="42"/>
  <c r="N54" i="42"/>
  <c r="H54" i="42"/>
  <c r="L54" i="42" s="1"/>
  <c r="D54" i="42"/>
  <c r="B54" i="42"/>
  <c r="X53" i="42"/>
  <c r="Z53" i="42" s="1"/>
  <c r="N53" i="42"/>
  <c r="L53" i="42"/>
  <c r="B53" i="42"/>
  <c r="Z52" i="42"/>
  <c r="V52" i="42"/>
  <c r="T52" i="42"/>
  <c r="X52" i="42" s="1"/>
  <c r="P52" i="42"/>
  <c r="H52" i="42"/>
  <c r="D52" i="42"/>
  <c r="L52" i="42" s="1"/>
  <c r="B52" i="42"/>
  <c r="X51" i="42"/>
  <c r="Z51" i="42" s="1"/>
  <c r="N51" i="42"/>
  <c r="L51" i="42"/>
  <c r="B51" i="42"/>
  <c r="V50" i="42"/>
  <c r="T50" i="42"/>
  <c r="P50" i="42"/>
  <c r="X50" i="42" s="1"/>
  <c r="H50" i="42"/>
  <c r="N50" i="42" s="1"/>
  <c r="D50" i="42"/>
  <c r="L50" i="42" s="1"/>
  <c r="B50" i="42"/>
  <c r="Z49" i="42"/>
  <c r="X49" i="42"/>
  <c r="L49" i="42"/>
  <c r="N49" i="42" s="1"/>
  <c r="B49" i="42"/>
  <c r="X48" i="42"/>
  <c r="Z48" i="42" s="1"/>
  <c r="N48" i="42"/>
  <c r="L48" i="42"/>
  <c r="B48" i="42"/>
  <c r="T47" i="42"/>
  <c r="P47" i="42"/>
  <c r="H47" i="42"/>
  <c r="D47" i="42"/>
  <c r="L47" i="42" s="1"/>
  <c r="N47" i="42" s="1"/>
  <c r="B47" i="42"/>
  <c r="Z46" i="42"/>
  <c r="X46" i="42"/>
  <c r="L46" i="42"/>
  <c r="N46" i="42" s="1"/>
  <c r="B46" i="42"/>
  <c r="T45" i="42"/>
  <c r="P45" i="42"/>
  <c r="X45" i="42" s="1"/>
  <c r="Z45" i="42" s="1"/>
  <c r="L45" i="42"/>
  <c r="N45" i="42" s="1"/>
  <c r="H45" i="42"/>
  <c r="D45" i="42"/>
  <c r="B45" i="42"/>
  <c r="Z44" i="42"/>
  <c r="X44" i="42"/>
  <c r="V44" i="42"/>
  <c r="N44" i="42"/>
  <c r="L44" i="42"/>
  <c r="B44" i="42"/>
  <c r="X43" i="42"/>
  <c r="Z43" i="42" s="1"/>
  <c r="T43" i="42"/>
  <c r="P43" i="42"/>
  <c r="L43" i="42"/>
  <c r="H43" i="42"/>
  <c r="N43" i="42" s="1"/>
  <c r="D43" i="42"/>
  <c r="B43" i="42"/>
  <c r="X42" i="42"/>
  <c r="Z42" i="42" s="1"/>
  <c r="V42" i="42"/>
  <c r="N42" i="42"/>
  <c r="L42" i="42"/>
  <c r="B42" i="42"/>
  <c r="X41" i="42"/>
  <c r="T41" i="42"/>
  <c r="P41" i="42"/>
  <c r="H41" i="42"/>
  <c r="D41" i="42"/>
  <c r="L41" i="42" s="1"/>
  <c r="B41" i="42"/>
  <c r="Z40" i="42"/>
  <c r="X40" i="42"/>
  <c r="N40" i="42"/>
  <c r="L40" i="42"/>
  <c r="B40" i="42"/>
  <c r="X39" i="42"/>
  <c r="Z39" i="42" s="1"/>
  <c r="N39" i="42"/>
  <c r="L39" i="42"/>
  <c r="B39" i="42"/>
  <c r="Z38" i="42"/>
  <c r="X38" i="42"/>
  <c r="V38" i="42"/>
  <c r="N38" i="42"/>
  <c r="L38" i="42"/>
  <c r="B38" i="42"/>
  <c r="X37" i="42"/>
  <c r="Z37" i="42" s="1"/>
  <c r="N37" i="42"/>
  <c r="L37" i="42"/>
  <c r="B37" i="42"/>
  <c r="Z36" i="42"/>
  <c r="X36" i="42"/>
  <c r="V36" i="42"/>
  <c r="L36" i="42"/>
  <c r="N36" i="42" s="1"/>
  <c r="B36" i="42"/>
  <c r="X35" i="42"/>
  <c r="Z35" i="42" s="1"/>
  <c r="T35" i="42"/>
  <c r="P35" i="42"/>
  <c r="L35" i="42"/>
  <c r="H35" i="42"/>
  <c r="D35" i="42"/>
  <c r="B35" i="42"/>
  <c r="Z34" i="42"/>
  <c r="X34" i="42"/>
  <c r="N34" i="42"/>
  <c r="L34" i="42"/>
  <c r="B34" i="42"/>
  <c r="X33" i="42"/>
  <c r="Z33" i="42" s="1"/>
  <c r="N33" i="42"/>
  <c r="L33" i="42"/>
  <c r="B33" i="42"/>
  <c r="Z32" i="42"/>
  <c r="X32" i="42"/>
  <c r="V32" i="42"/>
  <c r="N32" i="42"/>
  <c r="L32" i="42"/>
  <c r="B32" i="42"/>
  <c r="X31" i="42"/>
  <c r="Z31" i="42" s="1"/>
  <c r="L31" i="42"/>
  <c r="N31" i="42" s="1"/>
  <c r="B31" i="42"/>
  <c r="Z30" i="42"/>
  <c r="X30" i="42"/>
  <c r="N30" i="42"/>
  <c r="L30" i="42"/>
  <c r="B30" i="42"/>
  <c r="Z29" i="42"/>
  <c r="X29" i="42"/>
  <c r="L29" i="42"/>
  <c r="N29" i="42" s="1"/>
  <c r="B29" i="42"/>
  <c r="Z28" i="42"/>
  <c r="X28" i="42"/>
  <c r="N28" i="42"/>
  <c r="L28" i="42"/>
  <c r="B28" i="42"/>
  <c r="X27" i="42"/>
  <c r="Z27" i="42" s="1"/>
  <c r="L27" i="42"/>
  <c r="N27" i="42" s="1"/>
  <c r="B27" i="42"/>
  <c r="T26" i="42"/>
  <c r="P26" i="42"/>
  <c r="X26" i="42" s="1"/>
  <c r="H26" i="42"/>
  <c r="N26" i="42" s="1"/>
  <c r="D26" i="42"/>
  <c r="L26" i="42" s="1"/>
  <c r="B26" i="42"/>
  <c r="T25" i="42"/>
  <c r="P25" i="42"/>
  <c r="X25" i="42" s="1"/>
  <c r="Z25" i="42" s="1"/>
  <c r="L25" i="42"/>
  <c r="H25" i="42"/>
  <c r="D25" i="42"/>
  <c r="X21" i="42"/>
  <c r="Z21" i="42" s="1"/>
  <c r="L21" i="42"/>
  <c r="N21" i="42" s="1"/>
  <c r="B21" i="42"/>
  <c r="Z20" i="42"/>
  <c r="X20" i="42"/>
  <c r="N20" i="42"/>
  <c r="L20" i="42"/>
  <c r="B20" i="42"/>
  <c r="T19" i="42"/>
  <c r="P19" i="42"/>
  <c r="X19" i="42" s="1"/>
  <c r="H19" i="42"/>
  <c r="D19" i="42"/>
  <c r="L19" i="42" s="1"/>
  <c r="N19" i="42" s="1"/>
  <c r="X17" i="42"/>
  <c r="T17" i="42"/>
  <c r="P17" i="42"/>
  <c r="H17" i="42"/>
  <c r="N17" i="42" s="1"/>
  <c r="D17" i="42"/>
  <c r="L17" i="42" s="1"/>
  <c r="B17" i="42"/>
  <c r="Z16" i="42"/>
  <c r="X16" i="42"/>
  <c r="T16" i="42"/>
  <c r="P16" i="42"/>
  <c r="H16" i="42"/>
  <c r="N16" i="42" s="1"/>
  <c r="D16" i="42"/>
  <c r="L16" i="42" s="1"/>
  <c r="B16" i="42"/>
  <c r="Z15" i="42"/>
  <c r="X15" i="42"/>
  <c r="T15" i="42"/>
  <c r="P15" i="42"/>
  <c r="H15" i="42"/>
  <c r="N15" i="42" s="1"/>
  <c r="D15" i="42"/>
  <c r="L15" i="42" s="1"/>
  <c r="B15" i="42"/>
  <c r="T14" i="42"/>
  <c r="P14" i="42"/>
  <c r="X14" i="42" s="1"/>
  <c r="Z14" i="42" s="1"/>
  <c r="H14" i="42"/>
  <c r="D14" i="42"/>
  <c r="B14" i="42"/>
  <c r="T13" i="42"/>
  <c r="P13" i="42"/>
  <c r="L13" i="42"/>
  <c r="H13" i="42"/>
  <c r="N13" i="42" s="1"/>
  <c r="D13" i="42"/>
  <c r="B13" i="42"/>
  <c r="T12" i="42"/>
  <c r="V84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D25" i="41"/>
  <c r="B25" i="41"/>
  <c r="T24" i="41"/>
  <c r="Z24" i="41" s="1"/>
  <c r="P24" i="41"/>
  <c r="X24" i="41" s="1"/>
  <c r="H24" i="41"/>
  <c r="N24" i="41" s="1"/>
  <c r="D24" i="41"/>
  <c r="T22" i="41"/>
  <c r="Z22" i="41" s="1"/>
  <c r="P22" i="41"/>
  <c r="H22" i="41"/>
  <c r="N22" i="41" s="1"/>
  <c r="D22" i="41"/>
  <c r="B22" i="41"/>
  <c r="T21" i="4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D16" i="41"/>
  <c r="B16" i="41"/>
  <c r="T15" i="41"/>
  <c r="Z15" i="41" s="1"/>
  <c r="P15" i="41"/>
  <c r="H15" i="41"/>
  <c r="D15" i="41"/>
  <c r="T13" i="41"/>
  <c r="Z13" i="41" s="1"/>
  <c r="P13" i="41"/>
  <c r="H13" i="41"/>
  <c r="N13" i="41" s="1"/>
  <c r="D13" i="41"/>
  <c r="B13" i="41"/>
  <c r="T12" i="41"/>
  <c r="V24" i="41" s="1"/>
  <c r="P12" i="41"/>
  <c r="R36" i="41" s="1"/>
  <c r="H12" i="41"/>
  <c r="D12" i="41"/>
  <c r="F36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36" i="40" s="1"/>
  <c r="P12" i="40"/>
  <c r="H12" i="40"/>
  <c r="J22" i="40" s="1"/>
  <c r="D12" i="40"/>
  <c r="F18" i="40" s="1"/>
  <c r="D5" i="40"/>
  <c r="D4" i="40"/>
  <c r="X114" i="39"/>
  <c r="Z114" i="39" s="1"/>
  <c r="L114" i="39"/>
  <c r="N114" i="39" s="1"/>
  <c r="T110" i="39"/>
  <c r="P110" i="39"/>
  <c r="H110" i="39"/>
  <c r="N110" i="39" s="1"/>
  <c r="D110" i="39"/>
  <c r="L110" i="39" s="1"/>
  <c r="B110" i="39"/>
  <c r="Z109" i="39"/>
  <c r="X109" i="39"/>
  <c r="T109" i="39"/>
  <c r="P109" i="39"/>
  <c r="N109" i="39"/>
  <c r="H109" i="39"/>
  <c r="L109" i="39" s="1"/>
  <c r="D109" i="39"/>
  <c r="B109" i="39"/>
  <c r="X108" i="39"/>
  <c r="T108" i="39"/>
  <c r="P108" i="39"/>
  <c r="P107" i="39" s="1"/>
  <c r="H108" i="39"/>
  <c r="D108" i="39"/>
  <c r="B108" i="39"/>
  <c r="Z105" i="39"/>
  <c r="X105" i="39"/>
  <c r="V105" i="39"/>
  <c r="N105" i="39"/>
  <c r="L105" i="39"/>
  <c r="B105" i="39"/>
  <c r="X104" i="39"/>
  <c r="T104" i="39"/>
  <c r="Z104" i="39" s="1"/>
  <c r="P104" i="39"/>
  <c r="H104" i="39"/>
  <c r="D104" i="39"/>
  <c r="B104" i="39"/>
  <c r="Z103" i="39"/>
  <c r="X103" i="39"/>
  <c r="N103" i="39"/>
  <c r="L103" i="39"/>
  <c r="B103" i="39"/>
  <c r="Z102" i="39"/>
  <c r="X102" i="39"/>
  <c r="N102" i="39"/>
  <c r="L102" i="39"/>
  <c r="B102" i="39"/>
  <c r="V101" i="39"/>
  <c r="T101" i="39"/>
  <c r="P101" i="39"/>
  <c r="X101" i="39" s="1"/>
  <c r="Z101" i="39" s="1"/>
  <c r="N101" i="39"/>
  <c r="H101" i="39"/>
  <c r="D101" i="39"/>
  <c r="L101" i="39" s="1"/>
  <c r="B101" i="39"/>
  <c r="X100" i="39"/>
  <c r="Z100" i="39" s="1"/>
  <c r="N100" i="39"/>
  <c r="L100" i="39"/>
  <c r="B100" i="39"/>
  <c r="V99" i="39"/>
  <c r="T99" i="39"/>
  <c r="P99" i="39"/>
  <c r="X99" i="39" s="1"/>
  <c r="Z99" i="39" s="1"/>
  <c r="N99" i="39"/>
  <c r="L99" i="39"/>
  <c r="H99" i="39"/>
  <c r="D99" i="39"/>
  <c r="B99" i="39"/>
  <c r="X98" i="39"/>
  <c r="Z98" i="39" s="1"/>
  <c r="L98" i="39"/>
  <c r="N98" i="39" s="1"/>
  <c r="B98" i="39"/>
  <c r="Z97" i="39"/>
  <c r="X97" i="39"/>
  <c r="T97" i="39"/>
  <c r="P97" i="39"/>
  <c r="N97" i="39"/>
  <c r="L97" i="39"/>
  <c r="H97" i="39"/>
  <c r="D97" i="39"/>
  <c r="B97" i="39"/>
  <c r="Z96" i="39"/>
  <c r="X96" i="39"/>
  <c r="N96" i="39"/>
  <c r="L96" i="39"/>
  <c r="B96" i="39"/>
  <c r="Z95" i="39"/>
  <c r="X95" i="39"/>
  <c r="N95" i="39"/>
  <c r="L95" i="39"/>
  <c r="B95" i="39"/>
  <c r="Z94" i="39"/>
  <c r="X94" i="39"/>
  <c r="N94" i="39"/>
  <c r="L94" i="39"/>
  <c r="B94" i="39"/>
  <c r="Z93" i="39"/>
  <c r="X93" i="39"/>
  <c r="N93" i="39"/>
  <c r="L93" i="39"/>
  <c r="B93" i="39"/>
  <c r="X92" i="39"/>
  <c r="Z92" i="39" s="1"/>
  <c r="L92" i="39"/>
  <c r="N92" i="39" s="1"/>
  <c r="B92" i="39"/>
  <c r="Z91" i="39"/>
  <c r="X91" i="39"/>
  <c r="N91" i="39"/>
  <c r="L91" i="39"/>
  <c r="B91" i="39"/>
  <c r="X90" i="39"/>
  <c r="Z90" i="39" s="1"/>
  <c r="N90" i="39"/>
  <c r="L90" i="39"/>
  <c r="B90" i="39"/>
  <c r="Z89" i="39"/>
  <c r="X89" i="39"/>
  <c r="N89" i="39"/>
  <c r="L89" i="39"/>
  <c r="B89" i="39"/>
  <c r="X88" i="39"/>
  <c r="Z88" i="39" s="1"/>
  <c r="N88" i="39"/>
  <c r="L88" i="39"/>
  <c r="B88" i="39"/>
  <c r="Z87" i="39"/>
  <c r="X87" i="39"/>
  <c r="T87" i="39"/>
  <c r="P87" i="39"/>
  <c r="H87" i="39"/>
  <c r="D87" i="39"/>
  <c r="L87" i="39" s="1"/>
  <c r="N87" i="39" s="1"/>
  <c r="B87" i="39"/>
  <c r="X86" i="39"/>
  <c r="Z86" i="39" s="1"/>
  <c r="N86" i="39"/>
  <c r="L86" i="39"/>
  <c r="B86" i="39"/>
  <c r="Z85" i="39"/>
  <c r="T85" i="39"/>
  <c r="P85" i="39"/>
  <c r="X85" i="39" s="1"/>
  <c r="N85" i="39"/>
  <c r="H85" i="39"/>
  <c r="D85" i="39"/>
  <c r="L85" i="39" s="1"/>
  <c r="B85" i="39"/>
  <c r="X84" i="39"/>
  <c r="Z84" i="39" s="1"/>
  <c r="N84" i="39"/>
  <c r="L84" i="39"/>
  <c r="B84" i="39"/>
  <c r="Z83" i="39"/>
  <c r="X83" i="39"/>
  <c r="N83" i="39"/>
  <c r="L83" i="39"/>
  <c r="B83" i="39"/>
  <c r="X82" i="39"/>
  <c r="Z82" i="39" s="1"/>
  <c r="L82" i="39"/>
  <c r="N82" i="39" s="1"/>
  <c r="B82" i="39"/>
  <c r="Z81" i="39"/>
  <c r="X81" i="39"/>
  <c r="V81" i="39"/>
  <c r="N81" i="39"/>
  <c r="L81" i="39"/>
  <c r="B81" i="39"/>
  <c r="X80" i="39"/>
  <c r="T80" i="39"/>
  <c r="Z80" i="39" s="1"/>
  <c r="P80" i="39"/>
  <c r="L80" i="39"/>
  <c r="H80" i="39"/>
  <c r="D80" i="39"/>
  <c r="B80" i="39"/>
  <c r="Z79" i="39"/>
  <c r="X79" i="39"/>
  <c r="V79" i="39"/>
  <c r="N79" i="39"/>
  <c r="L79" i="39"/>
  <c r="B79" i="39"/>
  <c r="X78" i="39"/>
  <c r="T78" i="39"/>
  <c r="P78" i="39"/>
  <c r="H78" i="39"/>
  <c r="N78" i="39" s="1"/>
  <c r="D78" i="39"/>
  <c r="L78" i="39" s="1"/>
  <c r="B78" i="39"/>
  <c r="Z77" i="39"/>
  <c r="X77" i="39"/>
  <c r="N77" i="39"/>
  <c r="L77" i="39"/>
  <c r="B77" i="39"/>
  <c r="X76" i="39"/>
  <c r="Z76" i="39" s="1"/>
  <c r="N76" i="39"/>
  <c r="L76" i="39"/>
  <c r="B76" i="39"/>
  <c r="Z75" i="39"/>
  <c r="X75" i="39"/>
  <c r="N75" i="39"/>
  <c r="L75" i="39"/>
  <c r="B75" i="39"/>
  <c r="X74" i="39"/>
  <c r="T74" i="39"/>
  <c r="P74" i="39"/>
  <c r="H74" i="39"/>
  <c r="D74" i="39"/>
  <c r="L74" i="39" s="1"/>
  <c r="B74" i="39"/>
  <c r="Z73" i="39"/>
  <c r="X73" i="39"/>
  <c r="N73" i="39"/>
  <c r="L73" i="39"/>
  <c r="B73" i="39"/>
  <c r="T72" i="39"/>
  <c r="P72" i="39"/>
  <c r="X72" i="39" s="1"/>
  <c r="H72" i="39"/>
  <c r="N72" i="39" s="1"/>
  <c r="D72" i="39"/>
  <c r="L72" i="39" s="1"/>
  <c r="B72" i="39"/>
  <c r="Z71" i="39"/>
  <c r="X71" i="39"/>
  <c r="N71" i="39"/>
  <c r="L71" i="39"/>
  <c r="B71" i="39"/>
  <c r="T70" i="39"/>
  <c r="Z70" i="39" s="1"/>
  <c r="P70" i="39"/>
  <c r="X70" i="39" s="1"/>
  <c r="L70" i="39"/>
  <c r="H70" i="39"/>
  <c r="D70" i="39"/>
  <c r="B70" i="39"/>
  <c r="Z69" i="39"/>
  <c r="X69" i="39"/>
  <c r="V69" i="39"/>
  <c r="N69" i="39"/>
  <c r="L69" i="39"/>
  <c r="B69" i="39"/>
  <c r="X68" i="39"/>
  <c r="T68" i="39"/>
  <c r="Z68" i="39" s="1"/>
  <c r="P68" i="39"/>
  <c r="H68" i="39"/>
  <c r="D68" i="39"/>
  <c r="B68" i="39"/>
  <c r="Z67" i="39"/>
  <c r="X67" i="39"/>
  <c r="N67" i="39"/>
  <c r="L67" i="39"/>
  <c r="B67" i="39"/>
  <c r="X66" i="39"/>
  <c r="T66" i="39"/>
  <c r="P66" i="39"/>
  <c r="H66" i="39"/>
  <c r="D66" i="39"/>
  <c r="L66" i="39" s="1"/>
  <c r="B66" i="39"/>
  <c r="Z65" i="39"/>
  <c r="X65" i="39"/>
  <c r="N65" i="39"/>
  <c r="L65" i="39"/>
  <c r="B65" i="39"/>
  <c r="X64" i="39"/>
  <c r="Z64" i="39" s="1"/>
  <c r="L64" i="39"/>
  <c r="N64" i="39" s="1"/>
  <c r="B64" i="39"/>
  <c r="V63" i="39"/>
  <c r="T63" i="39"/>
  <c r="P63" i="39"/>
  <c r="X63" i="39" s="1"/>
  <c r="Z63" i="39" s="1"/>
  <c r="N63" i="39"/>
  <c r="L63" i="39"/>
  <c r="H63" i="39"/>
  <c r="F63" i="39"/>
  <c r="D63" i="39"/>
  <c r="B63" i="39"/>
  <c r="X62" i="39"/>
  <c r="Z62" i="39" s="1"/>
  <c r="L62" i="39"/>
  <c r="N62" i="39" s="1"/>
  <c r="B62" i="39"/>
  <c r="Z61" i="39"/>
  <c r="X61" i="39"/>
  <c r="T61" i="39"/>
  <c r="P61" i="39"/>
  <c r="N61" i="39"/>
  <c r="L61" i="39"/>
  <c r="H61" i="39"/>
  <c r="D61" i="39"/>
  <c r="B61" i="39"/>
  <c r="X60" i="39"/>
  <c r="Z60" i="39" s="1"/>
  <c r="N60" i="39"/>
  <c r="L60" i="39"/>
  <c r="B60" i="39"/>
  <c r="Z59" i="39"/>
  <c r="T59" i="39"/>
  <c r="X59" i="39" s="1"/>
  <c r="P59" i="39"/>
  <c r="N59" i="39"/>
  <c r="H59" i="39"/>
  <c r="D59" i="39"/>
  <c r="L59" i="39" s="1"/>
  <c r="B59" i="39"/>
  <c r="X58" i="39"/>
  <c r="Z58" i="39" s="1"/>
  <c r="L58" i="39"/>
  <c r="N58" i="39" s="1"/>
  <c r="B58" i="39"/>
  <c r="Z57" i="39"/>
  <c r="X57" i="39"/>
  <c r="N57" i="39"/>
  <c r="L57" i="39"/>
  <c r="B57" i="39"/>
  <c r="X56" i="39"/>
  <c r="T56" i="39"/>
  <c r="P56" i="39"/>
  <c r="H56" i="39"/>
  <c r="D56" i="39"/>
  <c r="B56" i="39"/>
  <c r="Z55" i="39"/>
  <c r="X55" i="39"/>
  <c r="V55" i="39"/>
  <c r="N55" i="39"/>
  <c r="L55" i="39"/>
  <c r="B55" i="39"/>
  <c r="T54" i="39"/>
  <c r="P54" i="39"/>
  <c r="H54" i="39"/>
  <c r="D54" i="39"/>
  <c r="B54" i="39"/>
  <c r="Z53" i="39"/>
  <c r="X53" i="39"/>
  <c r="N53" i="39"/>
  <c r="L53" i="39"/>
  <c r="B53" i="39"/>
  <c r="T52" i="39"/>
  <c r="P52" i="39"/>
  <c r="H52" i="39"/>
  <c r="N52" i="39" s="1"/>
  <c r="D52" i="39"/>
  <c r="L52" i="39" s="1"/>
  <c r="B52" i="39"/>
  <c r="Z51" i="39"/>
  <c r="X51" i="39"/>
  <c r="N51" i="39"/>
  <c r="L51" i="39"/>
  <c r="B51" i="39"/>
  <c r="T50" i="39"/>
  <c r="P50" i="39"/>
  <c r="X50" i="39" s="1"/>
  <c r="L50" i="39"/>
  <c r="H50" i="39"/>
  <c r="D50" i="39"/>
  <c r="B50" i="39"/>
  <c r="Z49" i="39"/>
  <c r="X49" i="39"/>
  <c r="N49" i="39"/>
  <c r="L49" i="39"/>
  <c r="B49" i="39"/>
  <c r="X48" i="39"/>
  <c r="Z48" i="39" s="1"/>
  <c r="N48" i="39"/>
  <c r="L48" i="39"/>
  <c r="B48" i="39"/>
  <c r="Z47" i="39"/>
  <c r="X47" i="39"/>
  <c r="N47" i="39"/>
  <c r="L47" i="39"/>
  <c r="B47" i="39"/>
  <c r="X46" i="39"/>
  <c r="Z46" i="39" s="1"/>
  <c r="L46" i="39"/>
  <c r="N46" i="39" s="1"/>
  <c r="B46" i="39"/>
  <c r="Z45" i="39"/>
  <c r="X45" i="39"/>
  <c r="N45" i="39"/>
  <c r="L45" i="39"/>
  <c r="B45" i="39"/>
  <c r="T44" i="39"/>
  <c r="P44" i="39"/>
  <c r="X44" i="39" s="1"/>
  <c r="H44" i="39"/>
  <c r="D44" i="39"/>
  <c r="L44" i="39" s="1"/>
  <c r="B44" i="39"/>
  <c r="Z43" i="39"/>
  <c r="X43" i="39"/>
  <c r="N43" i="39"/>
  <c r="L43" i="39"/>
  <c r="B43" i="39"/>
  <c r="X42" i="39"/>
  <c r="Z42" i="39" s="1"/>
  <c r="L42" i="39"/>
  <c r="N42" i="39" s="1"/>
  <c r="B42" i="39"/>
  <c r="Z41" i="39"/>
  <c r="X41" i="39"/>
  <c r="N41" i="39"/>
  <c r="L41" i="39"/>
  <c r="B41" i="39"/>
  <c r="Z40" i="39"/>
  <c r="X40" i="39"/>
  <c r="N40" i="39"/>
  <c r="L40" i="39"/>
  <c r="B40" i="39"/>
  <c r="Z39" i="39"/>
  <c r="X39" i="39"/>
  <c r="N39" i="39"/>
  <c r="L39" i="39"/>
  <c r="B39" i="39"/>
  <c r="X38" i="39"/>
  <c r="Z38" i="39" s="1"/>
  <c r="L38" i="39"/>
  <c r="N38" i="39" s="1"/>
  <c r="B38" i="39"/>
  <c r="Z37" i="39"/>
  <c r="X37" i="39"/>
  <c r="N37" i="39"/>
  <c r="L37" i="39"/>
  <c r="B37" i="39"/>
  <c r="X36" i="39"/>
  <c r="Z36" i="39" s="1"/>
  <c r="L36" i="39"/>
  <c r="N36" i="39" s="1"/>
  <c r="B36" i="39"/>
  <c r="Z35" i="39"/>
  <c r="X35" i="39"/>
  <c r="N35" i="39"/>
  <c r="L35" i="39"/>
  <c r="B35" i="39"/>
  <c r="T34" i="39"/>
  <c r="Z34" i="39" s="1"/>
  <c r="P34" i="39"/>
  <c r="X34" i="39" s="1"/>
  <c r="L34" i="39"/>
  <c r="H34" i="39"/>
  <c r="N34" i="39" s="1"/>
  <c r="D34" i="39"/>
  <c r="B34" i="39"/>
  <c r="Z33" i="39"/>
  <c r="V33" i="39"/>
  <c r="T33" i="39"/>
  <c r="P33" i="39"/>
  <c r="X33" i="39" s="1"/>
  <c r="H33" i="39"/>
  <c r="N33" i="39" s="1"/>
  <c r="F33" i="39"/>
  <c r="D33" i="39"/>
  <c r="L33" i="39" s="1"/>
  <c r="Z29" i="39"/>
  <c r="X29" i="39"/>
  <c r="L29" i="39"/>
  <c r="N29" i="39" s="1"/>
  <c r="B29" i="39"/>
  <c r="X28" i="39"/>
  <c r="Z28" i="39" s="1"/>
  <c r="N28" i="39"/>
  <c r="L28" i="39"/>
  <c r="B28" i="39"/>
  <c r="Z27" i="39"/>
  <c r="X27" i="39"/>
  <c r="T27" i="39"/>
  <c r="P27" i="39"/>
  <c r="N27" i="39"/>
  <c r="H27" i="39"/>
  <c r="L27" i="39" s="1"/>
  <c r="D27" i="39"/>
  <c r="T25" i="39"/>
  <c r="P25" i="39"/>
  <c r="X25" i="39" s="1"/>
  <c r="N25" i="39"/>
  <c r="L25" i="39"/>
  <c r="H25" i="39"/>
  <c r="D25" i="39"/>
  <c r="B25" i="39"/>
  <c r="T24" i="39"/>
  <c r="P24" i="39"/>
  <c r="X24" i="39" s="1"/>
  <c r="N24" i="39"/>
  <c r="H24" i="39"/>
  <c r="D24" i="39"/>
  <c r="L24" i="39" s="1"/>
  <c r="B24" i="39"/>
  <c r="Z23" i="39"/>
  <c r="T23" i="39"/>
  <c r="P23" i="39"/>
  <c r="X23" i="39" s="1"/>
  <c r="L23" i="39"/>
  <c r="H23" i="39"/>
  <c r="N23" i="39" s="1"/>
  <c r="D23" i="39"/>
  <c r="B23" i="39"/>
  <c r="X22" i="39"/>
  <c r="T22" i="39"/>
  <c r="Z22" i="39" s="1"/>
  <c r="P22" i="39"/>
  <c r="N22" i="39"/>
  <c r="H22" i="39"/>
  <c r="D22" i="39"/>
  <c r="L22" i="39" s="1"/>
  <c r="B22" i="39"/>
  <c r="Z21" i="39"/>
  <c r="X21" i="39"/>
  <c r="T21" i="39"/>
  <c r="P21" i="39"/>
  <c r="H21" i="39"/>
  <c r="N21" i="39" s="1"/>
  <c r="D21" i="39"/>
  <c r="L21" i="39" s="1"/>
  <c r="B21" i="39"/>
  <c r="Z20" i="39"/>
  <c r="T20" i="39"/>
  <c r="P20" i="39"/>
  <c r="X20" i="39" s="1"/>
  <c r="L20" i="39"/>
  <c r="H20" i="39"/>
  <c r="N20" i="39" s="1"/>
  <c r="D20" i="39"/>
  <c r="B20" i="39"/>
  <c r="X19" i="39"/>
  <c r="T19" i="39"/>
  <c r="Z19" i="39" s="1"/>
  <c r="P19" i="39"/>
  <c r="N19" i="39"/>
  <c r="H19" i="39"/>
  <c r="D19" i="39"/>
  <c r="B19" i="39"/>
  <c r="Z18" i="39"/>
  <c r="T18" i="39"/>
  <c r="P18" i="39"/>
  <c r="X18" i="39" s="1"/>
  <c r="L18" i="39"/>
  <c r="H18" i="39"/>
  <c r="N18" i="39" s="1"/>
  <c r="D18" i="39"/>
  <c r="B18" i="39"/>
  <c r="T17" i="39"/>
  <c r="P17" i="39"/>
  <c r="X17" i="39" s="1"/>
  <c r="N17" i="39"/>
  <c r="L17" i="39"/>
  <c r="H17" i="39"/>
  <c r="D17" i="39"/>
  <c r="B17" i="39"/>
  <c r="T16" i="39"/>
  <c r="P16" i="39"/>
  <c r="X16" i="39" s="1"/>
  <c r="N16" i="39"/>
  <c r="H16" i="39"/>
  <c r="D16" i="39"/>
  <c r="L16" i="39" s="1"/>
  <c r="B16" i="39"/>
  <c r="Z15" i="39"/>
  <c r="T15" i="39"/>
  <c r="P15" i="39"/>
  <c r="X15" i="39" s="1"/>
  <c r="L15" i="39"/>
  <c r="H15" i="39"/>
  <c r="N15" i="39" s="1"/>
  <c r="D15" i="39"/>
  <c r="B15" i="39"/>
  <c r="X14" i="39"/>
  <c r="T14" i="39"/>
  <c r="T12" i="39" s="1"/>
  <c r="V91" i="39" s="1"/>
  <c r="P14" i="39"/>
  <c r="N14" i="39"/>
  <c r="H14" i="39"/>
  <c r="D14" i="39"/>
  <c r="L14" i="39" s="1"/>
  <c r="B14" i="39"/>
  <c r="Z13" i="39"/>
  <c r="X13" i="39"/>
  <c r="T13" i="39"/>
  <c r="P13" i="39"/>
  <c r="H13" i="39"/>
  <c r="D13" i="39"/>
  <c r="L13" i="39" s="1"/>
  <c r="B13" i="39"/>
  <c r="D12" i="39"/>
  <c r="F94" i="39" s="1"/>
  <c r="D4" i="39"/>
  <c r="B39" i="38"/>
  <c r="B38" i="38"/>
  <c r="T34" i="38"/>
  <c r="Z34" i="38" s="1"/>
  <c r="P34" i="38"/>
  <c r="H34" i="38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34" i="38" s="1"/>
  <c r="P12" i="38"/>
  <c r="H12" i="38"/>
  <c r="J24" i="38" s="1"/>
  <c r="D12" i="38"/>
  <c r="F33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D20" i="37"/>
  <c r="T16" i="37"/>
  <c r="Z16" i="37" s="1"/>
  <c r="P16" i="37"/>
  <c r="H16" i="37"/>
  <c r="D16" i="37"/>
  <c r="B16" i="37"/>
  <c r="T15" i="37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0" i="37" s="1"/>
  <c r="P12" i="37"/>
  <c r="R22" i="37" s="1"/>
  <c r="H12" i="37"/>
  <c r="J16" i="37" s="1"/>
  <c r="D12" i="37"/>
  <c r="F20" i="37" s="1"/>
  <c r="D5" i="37"/>
  <c r="D4" i="37"/>
  <c r="Z112" i="36"/>
  <c r="X112" i="36"/>
  <c r="N112" i="36"/>
  <c r="L112" i="36"/>
  <c r="Z108" i="36"/>
  <c r="X108" i="36"/>
  <c r="T108" i="36"/>
  <c r="P108" i="36"/>
  <c r="N108" i="36"/>
  <c r="H108" i="36"/>
  <c r="L108" i="36" s="1"/>
  <c r="D108" i="36"/>
  <c r="B108" i="36"/>
  <c r="T107" i="36"/>
  <c r="P107" i="36"/>
  <c r="H107" i="36"/>
  <c r="D107" i="36"/>
  <c r="B107" i="36"/>
  <c r="T106" i="36"/>
  <c r="P106" i="36"/>
  <c r="X106" i="36" s="1"/>
  <c r="Z106" i="36" s="1"/>
  <c r="N106" i="36"/>
  <c r="L106" i="36"/>
  <c r="H106" i="36"/>
  <c r="D106" i="36"/>
  <c r="B106" i="36"/>
  <c r="X103" i="36"/>
  <c r="Z103" i="36" s="1"/>
  <c r="L103" i="36"/>
  <c r="N103" i="36" s="1"/>
  <c r="B103" i="36"/>
  <c r="T102" i="36"/>
  <c r="P102" i="36"/>
  <c r="X102" i="36" s="1"/>
  <c r="H102" i="36"/>
  <c r="D102" i="36"/>
  <c r="L102" i="36" s="1"/>
  <c r="N102" i="36" s="1"/>
  <c r="B102" i="36"/>
  <c r="Z101" i="36"/>
  <c r="X101" i="36"/>
  <c r="N101" i="36"/>
  <c r="L101" i="36"/>
  <c r="B101" i="36"/>
  <c r="Z100" i="36"/>
  <c r="X100" i="36"/>
  <c r="N100" i="36"/>
  <c r="L100" i="36"/>
  <c r="B100" i="36"/>
  <c r="T99" i="36"/>
  <c r="P99" i="36"/>
  <c r="N99" i="36"/>
  <c r="H99" i="36"/>
  <c r="D99" i="36"/>
  <c r="L99" i="36" s="1"/>
  <c r="B99" i="36"/>
  <c r="Z98" i="36"/>
  <c r="X98" i="36"/>
  <c r="N98" i="36"/>
  <c r="L98" i="36"/>
  <c r="B98" i="36"/>
  <c r="T97" i="36"/>
  <c r="P97" i="36"/>
  <c r="X97" i="36" s="1"/>
  <c r="Z97" i="36" s="1"/>
  <c r="N97" i="36"/>
  <c r="L97" i="36"/>
  <c r="H97" i="36"/>
  <c r="D97" i="36"/>
  <c r="B97" i="36"/>
  <c r="Z96" i="36"/>
  <c r="X96" i="36"/>
  <c r="L96" i="36"/>
  <c r="N96" i="36" s="1"/>
  <c r="B96" i="36"/>
  <c r="X95" i="36"/>
  <c r="Z95" i="36" s="1"/>
  <c r="T95" i="36"/>
  <c r="P95" i="36"/>
  <c r="L95" i="36"/>
  <c r="H95" i="36"/>
  <c r="D95" i="36"/>
  <c r="B95" i="36"/>
  <c r="Z94" i="36"/>
  <c r="X94" i="36"/>
  <c r="N94" i="36"/>
  <c r="L94" i="36"/>
  <c r="B94" i="36"/>
  <c r="Z93" i="36"/>
  <c r="X93" i="36"/>
  <c r="N93" i="36"/>
  <c r="L93" i="36"/>
  <c r="B93" i="36"/>
  <c r="Z92" i="36"/>
  <c r="X92" i="36"/>
  <c r="N92" i="36"/>
  <c r="L92" i="36"/>
  <c r="B92" i="36"/>
  <c r="X91" i="36"/>
  <c r="Z91" i="36" s="1"/>
  <c r="N91" i="36"/>
  <c r="L91" i="36"/>
  <c r="B91" i="36"/>
  <c r="Z90" i="36"/>
  <c r="X90" i="36"/>
  <c r="L90" i="36"/>
  <c r="N90" i="36" s="1"/>
  <c r="B90" i="36"/>
  <c r="Z89" i="36"/>
  <c r="X89" i="36"/>
  <c r="L89" i="36"/>
  <c r="N89" i="36" s="1"/>
  <c r="B89" i="36"/>
  <c r="Z88" i="36"/>
  <c r="X88" i="36"/>
  <c r="N88" i="36"/>
  <c r="L88" i="36"/>
  <c r="B88" i="36"/>
  <c r="X87" i="36"/>
  <c r="Z87" i="36" s="1"/>
  <c r="L87" i="36"/>
  <c r="N87" i="36" s="1"/>
  <c r="B87" i="36"/>
  <c r="X86" i="36"/>
  <c r="Z86" i="36" s="1"/>
  <c r="N86" i="36"/>
  <c r="L86" i="36"/>
  <c r="B86" i="36"/>
  <c r="T85" i="36"/>
  <c r="P85" i="36"/>
  <c r="H85" i="36"/>
  <c r="D85" i="36"/>
  <c r="B85" i="36"/>
  <c r="Z84" i="36"/>
  <c r="X84" i="36"/>
  <c r="N84" i="36"/>
  <c r="L84" i="36"/>
  <c r="B84" i="36"/>
  <c r="X83" i="36"/>
  <c r="Z83" i="36" s="1"/>
  <c r="N83" i="36"/>
  <c r="L83" i="36"/>
  <c r="B83" i="36"/>
  <c r="T82" i="36"/>
  <c r="P82" i="36"/>
  <c r="X82" i="36" s="1"/>
  <c r="N82" i="36"/>
  <c r="H82" i="36"/>
  <c r="D82" i="36"/>
  <c r="L82" i="36" s="1"/>
  <c r="B82" i="36"/>
  <c r="Z81" i="36"/>
  <c r="X81" i="36"/>
  <c r="L81" i="36"/>
  <c r="N81" i="36" s="1"/>
  <c r="B81" i="36"/>
  <c r="Z80" i="36"/>
  <c r="X80" i="36"/>
  <c r="N80" i="36"/>
  <c r="L80" i="36"/>
  <c r="B80" i="36"/>
  <c r="Z79" i="36"/>
  <c r="X79" i="36"/>
  <c r="L79" i="36"/>
  <c r="N79" i="36" s="1"/>
  <c r="B79" i="36"/>
  <c r="Z78" i="36"/>
  <c r="X78" i="36"/>
  <c r="N78" i="36"/>
  <c r="L78" i="36"/>
  <c r="B78" i="36"/>
  <c r="T77" i="36"/>
  <c r="P77" i="36"/>
  <c r="H77" i="36"/>
  <c r="D77" i="36"/>
  <c r="B77" i="36"/>
  <c r="Z76" i="36"/>
  <c r="X76" i="36"/>
  <c r="N76" i="36"/>
  <c r="L76" i="36"/>
  <c r="B76" i="36"/>
  <c r="T75" i="36"/>
  <c r="Z75" i="36" s="1"/>
  <c r="P75" i="36"/>
  <c r="N75" i="36"/>
  <c r="H75" i="36"/>
  <c r="D75" i="36"/>
  <c r="L75" i="36" s="1"/>
  <c r="B75" i="36"/>
  <c r="Z74" i="36"/>
  <c r="X74" i="36"/>
  <c r="N74" i="36"/>
  <c r="L74" i="36"/>
  <c r="B74" i="36"/>
  <c r="Z73" i="36"/>
  <c r="X73" i="36"/>
  <c r="L73" i="36"/>
  <c r="N73" i="36" s="1"/>
  <c r="B73" i="36"/>
  <c r="Z72" i="36"/>
  <c r="X72" i="36"/>
  <c r="N72" i="36"/>
  <c r="L72" i="36"/>
  <c r="B72" i="36"/>
  <c r="T71" i="36"/>
  <c r="P71" i="36"/>
  <c r="H71" i="36"/>
  <c r="D71" i="36"/>
  <c r="L71" i="36" s="1"/>
  <c r="N71" i="36" s="1"/>
  <c r="B71" i="36"/>
  <c r="Z70" i="36"/>
  <c r="X70" i="36"/>
  <c r="N70" i="36"/>
  <c r="L70" i="36"/>
  <c r="B70" i="36"/>
  <c r="T69" i="36"/>
  <c r="P69" i="36"/>
  <c r="X69" i="36" s="1"/>
  <c r="Z69" i="36" s="1"/>
  <c r="N69" i="36"/>
  <c r="L69" i="36"/>
  <c r="H69" i="36"/>
  <c r="D69" i="36"/>
  <c r="B69" i="36"/>
  <c r="Z68" i="36"/>
  <c r="X68" i="36"/>
  <c r="N68" i="36"/>
  <c r="L68" i="36"/>
  <c r="B68" i="36"/>
  <c r="X67" i="36"/>
  <c r="Z67" i="36" s="1"/>
  <c r="T67" i="36"/>
  <c r="P67" i="36"/>
  <c r="H67" i="36"/>
  <c r="D67" i="36"/>
  <c r="B67" i="36"/>
  <c r="Z66" i="36"/>
  <c r="X66" i="36"/>
  <c r="N66" i="36"/>
  <c r="L66" i="36"/>
  <c r="B66" i="36"/>
  <c r="T65" i="36"/>
  <c r="P65" i="36"/>
  <c r="H65" i="36"/>
  <c r="D65" i="36"/>
  <c r="B65" i="36"/>
  <c r="Z64" i="36"/>
  <c r="X64" i="36"/>
  <c r="N64" i="36"/>
  <c r="L64" i="36"/>
  <c r="B64" i="36"/>
  <c r="T63" i="36"/>
  <c r="P63" i="36"/>
  <c r="H63" i="36"/>
  <c r="D63" i="36"/>
  <c r="L63" i="36" s="1"/>
  <c r="N63" i="36" s="1"/>
  <c r="B63" i="36"/>
  <c r="Z62" i="36"/>
  <c r="X62" i="36"/>
  <c r="N62" i="36"/>
  <c r="L62" i="36"/>
  <c r="B62" i="36"/>
  <c r="T61" i="36"/>
  <c r="P61" i="36"/>
  <c r="X61" i="36" s="1"/>
  <c r="Z61" i="36" s="1"/>
  <c r="L61" i="36"/>
  <c r="H61" i="36"/>
  <c r="D61" i="36"/>
  <c r="B61" i="36"/>
  <c r="Z60" i="36"/>
  <c r="X60" i="36"/>
  <c r="N60" i="36"/>
  <c r="L60" i="36"/>
  <c r="B60" i="36"/>
  <c r="X59" i="36"/>
  <c r="T59" i="36"/>
  <c r="P59" i="36"/>
  <c r="H59" i="36"/>
  <c r="N59" i="36" s="1"/>
  <c r="D59" i="36"/>
  <c r="B59" i="36"/>
  <c r="Z58" i="36"/>
  <c r="X58" i="36"/>
  <c r="N58" i="36"/>
  <c r="L58" i="36"/>
  <c r="B58" i="36"/>
  <c r="T57" i="36"/>
  <c r="P57" i="36"/>
  <c r="H57" i="36"/>
  <c r="D57" i="36"/>
  <c r="B57" i="36"/>
  <c r="Z56" i="36"/>
  <c r="X56" i="36"/>
  <c r="N56" i="36"/>
  <c r="L56" i="36"/>
  <c r="B56" i="36"/>
  <c r="T55" i="36"/>
  <c r="P55" i="36"/>
  <c r="N55" i="36"/>
  <c r="H55" i="36"/>
  <c r="D55" i="36"/>
  <c r="L55" i="36" s="1"/>
  <c r="B55" i="36"/>
  <c r="Z54" i="36"/>
  <c r="X54" i="36"/>
  <c r="N54" i="36"/>
  <c r="L54" i="36"/>
  <c r="B54" i="36"/>
  <c r="T53" i="36"/>
  <c r="P53" i="36"/>
  <c r="X53" i="36" s="1"/>
  <c r="Z53" i="36" s="1"/>
  <c r="L53" i="36"/>
  <c r="H53" i="36"/>
  <c r="N53" i="36" s="1"/>
  <c r="D53" i="36"/>
  <c r="B53" i="36"/>
  <c r="Z52" i="36"/>
  <c r="X52" i="36"/>
  <c r="N52" i="36"/>
  <c r="L52" i="36"/>
  <c r="B52" i="36"/>
  <c r="X51" i="36"/>
  <c r="Z51" i="36" s="1"/>
  <c r="L51" i="36"/>
  <c r="N51" i="36" s="1"/>
  <c r="B51" i="36"/>
  <c r="X50" i="36"/>
  <c r="Z50" i="36" s="1"/>
  <c r="T50" i="36"/>
  <c r="P50" i="36"/>
  <c r="N50" i="36"/>
  <c r="H50" i="36"/>
  <c r="L50" i="36" s="1"/>
  <c r="D50" i="36"/>
  <c r="B50" i="36"/>
  <c r="X49" i="36"/>
  <c r="Z49" i="36" s="1"/>
  <c r="N49" i="36"/>
  <c r="L49" i="36"/>
  <c r="B49" i="36"/>
  <c r="T48" i="36"/>
  <c r="X48" i="36" s="1"/>
  <c r="P48" i="36"/>
  <c r="H48" i="36"/>
  <c r="N48" i="36" s="1"/>
  <c r="D48" i="36"/>
  <c r="L48" i="36" s="1"/>
  <c r="B48" i="36"/>
  <c r="X47" i="36"/>
  <c r="Z47" i="36" s="1"/>
  <c r="N47" i="36"/>
  <c r="L47" i="36"/>
  <c r="B47" i="36"/>
  <c r="T46" i="36"/>
  <c r="P46" i="36"/>
  <c r="X46" i="36" s="1"/>
  <c r="N46" i="36"/>
  <c r="H46" i="36"/>
  <c r="D46" i="36"/>
  <c r="L46" i="36" s="1"/>
  <c r="B46" i="36"/>
  <c r="Z45" i="36"/>
  <c r="X45" i="36"/>
  <c r="L45" i="36"/>
  <c r="N45" i="36" s="1"/>
  <c r="B45" i="36"/>
  <c r="T44" i="36"/>
  <c r="P44" i="36"/>
  <c r="X44" i="36" s="1"/>
  <c r="Z44" i="36" s="1"/>
  <c r="L44" i="36"/>
  <c r="N44" i="36" s="1"/>
  <c r="H44" i="36"/>
  <c r="D44" i="36"/>
  <c r="B44" i="36"/>
  <c r="X43" i="36"/>
  <c r="Z43" i="36" s="1"/>
  <c r="N43" i="36"/>
  <c r="L43" i="36"/>
  <c r="B43" i="36"/>
  <c r="Z42" i="36"/>
  <c r="X42" i="36"/>
  <c r="N42" i="36"/>
  <c r="L42" i="36"/>
  <c r="B42" i="36"/>
  <c r="Z41" i="36"/>
  <c r="X41" i="36"/>
  <c r="L41" i="36"/>
  <c r="N41" i="36" s="1"/>
  <c r="B41" i="36"/>
  <c r="Z40" i="36"/>
  <c r="X40" i="36"/>
  <c r="N40" i="36"/>
  <c r="L40" i="36"/>
  <c r="B40" i="36"/>
  <c r="X39" i="36"/>
  <c r="Z39" i="36" s="1"/>
  <c r="L39" i="36"/>
  <c r="N39" i="36" s="1"/>
  <c r="B39" i="36"/>
  <c r="Z38" i="36"/>
  <c r="X38" i="36"/>
  <c r="N38" i="36"/>
  <c r="L38" i="36"/>
  <c r="B38" i="36"/>
  <c r="T37" i="36"/>
  <c r="P37" i="36"/>
  <c r="H37" i="36"/>
  <c r="D37" i="36"/>
  <c r="L37" i="36" s="1"/>
  <c r="B37" i="36"/>
  <c r="Z36" i="36"/>
  <c r="X36" i="36"/>
  <c r="L36" i="36"/>
  <c r="N36" i="36" s="1"/>
  <c r="B36" i="36"/>
  <c r="X35" i="36"/>
  <c r="Z35" i="36" s="1"/>
  <c r="L35" i="36"/>
  <c r="N35" i="36" s="1"/>
  <c r="B35" i="36"/>
  <c r="Z34" i="36"/>
  <c r="X34" i="36"/>
  <c r="L34" i="36"/>
  <c r="N34" i="36" s="1"/>
  <c r="B34" i="36"/>
  <c r="X33" i="36"/>
  <c r="Z33" i="36" s="1"/>
  <c r="L33" i="36"/>
  <c r="N33" i="36" s="1"/>
  <c r="B33" i="36"/>
  <c r="Z32" i="36"/>
  <c r="X32" i="36"/>
  <c r="L32" i="36"/>
  <c r="N32" i="36" s="1"/>
  <c r="B32" i="36"/>
  <c r="Z31" i="36"/>
  <c r="X31" i="36"/>
  <c r="L31" i="36"/>
  <c r="N31" i="36" s="1"/>
  <c r="B31" i="36"/>
  <c r="Z30" i="36"/>
  <c r="X30" i="36"/>
  <c r="L30" i="36"/>
  <c r="N30" i="36" s="1"/>
  <c r="B30" i="36"/>
  <c r="Z29" i="36"/>
  <c r="X29" i="36"/>
  <c r="N29" i="36"/>
  <c r="L29" i="36"/>
  <c r="B29" i="36"/>
  <c r="X28" i="36"/>
  <c r="Z28" i="36" s="1"/>
  <c r="L28" i="36"/>
  <c r="N28" i="36" s="1"/>
  <c r="B28" i="36"/>
  <c r="T27" i="36"/>
  <c r="P27" i="36"/>
  <c r="X27" i="36" s="1"/>
  <c r="H27" i="36"/>
  <c r="D27" i="36"/>
  <c r="L27" i="36" s="1"/>
  <c r="B27" i="36"/>
  <c r="T26" i="36"/>
  <c r="P26" i="36"/>
  <c r="X26" i="36" s="1"/>
  <c r="Z26" i="36" s="1"/>
  <c r="L26" i="36"/>
  <c r="H26" i="36"/>
  <c r="N26" i="36" s="1"/>
  <c r="D26" i="36"/>
  <c r="Z22" i="36"/>
  <c r="X22" i="36"/>
  <c r="L22" i="36"/>
  <c r="N22" i="36" s="1"/>
  <c r="B22" i="36"/>
  <c r="Z21" i="36"/>
  <c r="X21" i="36"/>
  <c r="N21" i="36"/>
  <c r="L21" i="36"/>
  <c r="B21" i="36"/>
  <c r="T20" i="36"/>
  <c r="P20" i="36"/>
  <c r="H20" i="36"/>
  <c r="D20" i="36"/>
  <c r="L20" i="36" s="1"/>
  <c r="N20" i="36" s="1"/>
  <c r="X18" i="36"/>
  <c r="T18" i="36"/>
  <c r="P18" i="36"/>
  <c r="H18" i="36"/>
  <c r="N18" i="36" s="1"/>
  <c r="D18" i="36"/>
  <c r="L18" i="36" s="1"/>
  <c r="B18" i="36"/>
  <c r="Z17" i="36"/>
  <c r="X17" i="36"/>
  <c r="T17" i="36"/>
  <c r="P17" i="36"/>
  <c r="H17" i="36"/>
  <c r="D17" i="36"/>
  <c r="B17" i="36"/>
  <c r="Z16" i="36"/>
  <c r="X16" i="36"/>
  <c r="T16" i="36"/>
  <c r="P16" i="36"/>
  <c r="N16" i="36"/>
  <c r="H16" i="36"/>
  <c r="D16" i="36"/>
  <c r="L16" i="36" s="1"/>
  <c r="B16" i="36"/>
  <c r="T15" i="36"/>
  <c r="P15" i="36"/>
  <c r="X15" i="36" s="1"/>
  <c r="Z15" i="36" s="1"/>
  <c r="H15" i="36"/>
  <c r="D15" i="36"/>
  <c r="B15" i="36"/>
  <c r="T14" i="36"/>
  <c r="Z14" i="36" s="1"/>
  <c r="P14" i="36"/>
  <c r="X14" i="36" s="1"/>
  <c r="L14" i="36"/>
  <c r="H14" i="36"/>
  <c r="D14" i="36"/>
  <c r="D12" i="36" s="1"/>
  <c r="B14" i="36"/>
  <c r="T13" i="36"/>
  <c r="P13" i="36"/>
  <c r="N13" i="36"/>
  <c r="L13" i="36"/>
  <c r="H13" i="36"/>
  <c r="D13" i="36"/>
  <c r="B13" i="36"/>
  <c r="P12" i="36"/>
  <c r="R28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D33" i="35"/>
  <c r="T29" i="35"/>
  <c r="Z29" i="35" s="1"/>
  <c r="P29" i="35"/>
  <c r="H29" i="35"/>
  <c r="D29" i="35"/>
  <c r="T25" i="35"/>
  <c r="Z25" i="35" s="1"/>
  <c r="P25" i="35"/>
  <c r="H25" i="35"/>
  <c r="D25" i="35"/>
  <c r="B25" i="35"/>
  <c r="T24" i="35"/>
  <c r="Z24" i="35" s="1"/>
  <c r="P24" i="35"/>
  <c r="H24" i="35"/>
  <c r="N24" i="35" s="1"/>
  <c r="D24" i="35"/>
  <c r="T22" i="35"/>
  <c r="Z22" i="35" s="1"/>
  <c r="P22" i="35"/>
  <c r="X22" i="35" s="1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P13" i="35"/>
  <c r="H13" i="35"/>
  <c r="N13" i="35" s="1"/>
  <c r="D13" i="35"/>
  <c r="B13" i="35"/>
  <c r="T12" i="35"/>
  <c r="Z12" i="35" s="1"/>
  <c r="P12" i="35"/>
  <c r="R27" i="35" s="1"/>
  <c r="H12" i="35"/>
  <c r="J21" i="35" s="1"/>
  <c r="D12" i="35"/>
  <c r="F21" i="35" s="1"/>
  <c r="D5" i="35"/>
  <c r="D4" i="35"/>
  <c r="X167" i="34"/>
  <c r="Z167" i="34" s="1"/>
  <c r="L167" i="34"/>
  <c r="N167" i="34" s="1"/>
  <c r="T163" i="34"/>
  <c r="P163" i="34"/>
  <c r="N163" i="34"/>
  <c r="H163" i="34"/>
  <c r="D163" i="34"/>
  <c r="L163" i="34" s="1"/>
  <c r="B163" i="34"/>
  <c r="Z162" i="34"/>
  <c r="X162" i="34"/>
  <c r="T162" i="34"/>
  <c r="P162" i="34"/>
  <c r="P161" i="34" s="1"/>
  <c r="N162" i="34"/>
  <c r="H162" i="34"/>
  <c r="L162" i="34" s="1"/>
  <c r="D162" i="34"/>
  <c r="B162" i="34"/>
  <c r="T161" i="34"/>
  <c r="H161" i="34"/>
  <c r="D161" i="34"/>
  <c r="L161" i="34" s="1"/>
  <c r="Z159" i="34"/>
  <c r="X159" i="34"/>
  <c r="L159" i="34"/>
  <c r="N159" i="34" s="1"/>
  <c r="B159" i="34"/>
  <c r="T158" i="34"/>
  <c r="P158" i="34"/>
  <c r="X158" i="34" s="1"/>
  <c r="N158" i="34"/>
  <c r="L158" i="34"/>
  <c r="H158" i="34"/>
  <c r="D158" i="34"/>
  <c r="B158" i="34"/>
  <c r="X157" i="34"/>
  <c r="Z157" i="34" s="1"/>
  <c r="L157" i="34"/>
  <c r="N157" i="34" s="1"/>
  <c r="B157" i="34"/>
  <c r="Z156" i="34"/>
  <c r="X156" i="34"/>
  <c r="T156" i="34"/>
  <c r="P156" i="34"/>
  <c r="N156" i="34"/>
  <c r="H156" i="34"/>
  <c r="L156" i="34" s="1"/>
  <c r="D156" i="34"/>
  <c r="B156" i="34"/>
  <c r="X155" i="34"/>
  <c r="Z155" i="34" s="1"/>
  <c r="N155" i="34"/>
  <c r="L155" i="34"/>
  <c r="B155" i="34"/>
  <c r="T154" i="34"/>
  <c r="X154" i="34" s="1"/>
  <c r="P154" i="34"/>
  <c r="H154" i="34"/>
  <c r="N154" i="34" s="1"/>
  <c r="D154" i="34"/>
  <c r="L154" i="34" s="1"/>
  <c r="B154" i="34"/>
  <c r="X153" i="34"/>
  <c r="Z153" i="34" s="1"/>
  <c r="L153" i="34"/>
  <c r="N153" i="34" s="1"/>
  <c r="B153" i="34"/>
  <c r="T152" i="34"/>
  <c r="Z152" i="34" s="1"/>
  <c r="P152" i="34"/>
  <c r="X152" i="34" s="1"/>
  <c r="H152" i="34"/>
  <c r="D152" i="34"/>
  <c r="L152" i="34" s="1"/>
  <c r="B152" i="34"/>
  <c r="Z151" i="34"/>
  <c r="X151" i="34"/>
  <c r="L151" i="34"/>
  <c r="N151" i="34" s="1"/>
  <c r="B151" i="34"/>
  <c r="Z150" i="34"/>
  <c r="X150" i="34"/>
  <c r="N150" i="34"/>
  <c r="L150" i="34"/>
  <c r="B150" i="34"/>
  <c r="X149" i="34"/>
  <c r="Z149" i="34" s="1"/>
  <c r="L149" i="34"/>
  <c r="N149" i="34" s="1"/>
  <c r="B149" i="34"/>
  <c r="X148" i="34"/>
  <c r="Z148" i="34" s="1"/>
  <c r="N148" i="34"/>
  <c r="L148" i="34"/>
  <c r="B148" i="34"/>
  <c r="X147" i="34"/>
  <c r="Z147" i="34" s="1"/>
  <c r="N147" i="34"/>
  <c r="L147" i="34"/>
  <c r="B147" i="34"/>
  <c r="Z146" i="34"/>
  <c r="X146" i="34"/>
  <c r="N146" i="34"/>
  <c r="L146" i="34"/>
  <c r="B146" i="34"/>
  <c r="X145" i="34"/>
  <c r="T145" i="34"/>
  <c r="Z145" i="34" s="1"/>
  <c r="P145" i="34"/>
  <c r="L145" i="34"/>
  <c r="H145" i="34"/>
  <c r="D145" i="34"/>
  <c r="B145" i="34"/>
  <c r="X144" i="34"/>
  <c r="Z144" i="34" s="1"/>
  <c r="L144" i="34"/>
  <c r="N144" i="34" s="1"/>
  <c r="B144" i="34"/>
  <c r="X143" i="34"/>
  <c r="Z143" i="34" s="1"/>
  <c r="N143" i="34"/>
  <c r="L143" i="34"/>
  <c r="B143" i="34"/>
  <c r="T142" i="34"/>
  <c r="X142" i="34" s="1"/>
  <c r="P142" i="34"/>
  <c r="H142" i="34"/>
  <c r="D142" i="34"/>
  <c r="L142" i="34" s="1"/>
  <c r="B142" i="34"/>
  <c r="X141" i="34"/>
  <c r="Z141" i="34" s="1"/>
  <c r="L141" i="34"/>
  <c r="N141" i="34" s="1"/>
  <c r="B141" i="34"/>
  <c r="X140" i="34"/>
  <c r="Z140" i="34" s="1"/>
  <c r="L140" i="34"/>
  <c r="N140" i="34" s="1"/>
  <c r="B140" i="34"/>
  <c r="X139" i="34"/>
  <c r="Z139" i="34" s="1"/>
  <c r="N139" i="34"/>
  <c r="L139" i="34"/>
  <c r="B139" i="34"/>
  <c r="Z138" i="34"/>
  <c r="X138" i="34"/>
  <c r="N138" i="34"/>
  <c r="L138" i="34"/>
  <c r="B138" i="34"/>
  <c r="X137" i="34"/>
  <c r="T137" i="34"/>
  <c r="Z137" i="34" s="1"/>
  <c r="P137" i="34"/>
  <c r="H137" i="34"/>
  <c r="D137" i="34"/>
  <c r="B137" i="34"/>
  <c r="Z136" i="34"/>
  <c r="X136" i="34"/>
  <c r="N136" i="34"/>
  <c r="L136" i="34"/>
  <c r="B136" i="34"/>
  <c r="X135" i="34"/>
  <c r="Z135" i="34" s="1"/>
  <c r="N135" i="34"/>
  <c r="L135" i="34"/>
  <c r="B135" i="34"/>
  <c r="Z134" i="34"/>
  <c r="T134" i="34"/>
  <c r="X134" i="34" s="1"/>
  <c r="P134" i="34"/>
  <c r="H134" i="34"/>
  <c r="D134" i="34"/>
  <c r="L134" i="34" s="1"/>
  <c r="B134" i="34"/>
  <c r="Z133" i="34"/>
  <c r="X133" i="34"/>
  <c r="N133" i="34"/>
  <c r="L133" i="34"/>
  <c r="B133" i="34"/>
  <c r="X132" i="34"/>
  <c r="Z132" i="34" s="1"/>
  <c r="N132" i="34"/>
  <c r="L132" i="34"/>
  <c r="B132" i="34"/>
  <c r="Z131" i="34"/>
  <c r="X131" i="34"/>
  <c r="N131" i="34"/>
  <c r="L131" i="34"/>
  <c r="B131" i="34"/>
  <c r="Z130" i="34"/>
  <c r="T130" i="34"/>
  <c r="X130" i="34" s="1"/>
  <c r="P130" i="34"/>
  <c r="H130" i="34"/>
  <c r="N130" i="34" s="1"/>
  <c r="D130" i="34"/>
  <c r="L130" i="34" s="1"/>
  <c r="B130" i="34"/>
  <c r="X129" i="34"/>
  <c r="Z129" i="34" s="1"/>
  <c r="L129" i="34"/>
  <c r="N129" i="34" s="1"/>
  <c r="B129" i="34"/>
  <c r="T128" i="34"/>
  <c r="P128" i="34"/>
  <c r="X128" i="34" s="1"/>
  <c r="H128" i="34"/>
  <c r="D128" i="34"/>
  <c r="L128" i="34" s="1"/>
  <c r="B128" i="34"/>
  <c r="Z127" i="34"/>
  <c r="X127" i="34"/>
  <c r="N127" i="34"/>
  <c r="L127" i="34"/>
  <c r="B127" i="34"/>
  <c r="T126" i="34"/>
  <c r="Z126" i="34" s="1"/>
  <c r="P126" i="34"/>
  <c r="X126" i="34" s="1"/>
  <c r="N126" i="34"/>
  <c r="L126" i="34"/>
  <c r="H126" i="34"/>
  <c r="D126" i="34"/>
  <c r="B126" i="34"/>
  <c r="Z125" i="34"/>
  <c r="X125" i="34"/>
  <c r="N125" i="34"/>
  <c r="L125" i="34"/>
  <c r="B125" i="34"/>
  <c r="Z124" i="34"/>
  <c r="X124" i="34"/>
  <c r="L124" i="34"/>
  <c r="N124" i="34" s="1"/>
  <c r="B124" i="34"/>
  <c r="Z123" i="34"/>
  <c r="T123" i="34"/>
  <c r="P123" i="34"/>
  <c r="X123" i="34" s="1"/>
  <c r="L123" i="34"/>
  <c r="H123" i="34"/>
  <c r="D123" i="34"/>
  <c r="B123" i="34"/>
  <c r="Z122" i="34"/>
  <c r="X122" i="34"/>
  <c r="N122" i="34"/>
  <c r="L122" i="34"/>
  <c r="B122" i="34"/>
  <c r="X121" i="34"/>
  <c r="T121" i="34"/>
  <c r="Z121" i="34" s="1"/>
  <c r="P121" i="34"/>
  <c r="L121" i="34"/>
  <c r="H121" i="34"/>
  <c r="D121" i="34"/>
  <c r="B121" i="34"/>
  <c r="X120" i="34"/>
  <c r="Z120" i="34" s="1"/>
  <c r="N120" i="34"/>
  <c r="L120" i="34"/>
  <c r="B120" i="34"/>
  <c r="T119" i="34"/>
  <c r="P119" i="34"/>
  <c r="H119" i="34"/>
  <c r="N119" i="34" s="1"/>
  <c r="D119" i="34"/>
  <c r="B119" i="34"/>
  <c r="Z118" i="34"/>
  <c r="X118" i="34"/>
  <c r="N118" i="34"/>
  <c r="L118" i="34"/>
  <c r="B118" i="34"/>
  <c r="X117" i="34"/>
  <c r="Z117" i="34" s="1"/>
  <c r="L117" i="34"/>
  <c r="N117" i="34" s="1"/>
  <c r="B117" i="34"/>
  <c r="T116" i="34"/>
  <c r="P116" i="34"/>
  <c r="X116" i="34" s="1"/>
  <c r="H116" i="34"/>
  <c r="D116" i="34"/>
  <c r="L116" i="34" s="1"/>
  <c r="B116" i="34"/>
  <c r="Z115" i="34"/>
  <c r="X115" i="34"/>
  <c r="N115" i="34"/>
  <c r="L115" i="34"/>
  <c r="B115" i="34"/>
  <c r="T114" i="34"/>
  <c r="Z114" i="34" s="1"/>
  <c r="P114" i="34"/>
  <c r="X114" i="34" s="1"/>
  <c r="N114" i="34"/>
  <c r="L114" i="34"/>
  <c r="H114" i="34"/>
  <c r="D114" i="34"/>
  <c r="B114" i="34"/>
  <c r="Z113" i="34"/>
  <c r="X113" i="34"/>
  <c r="N113" i="34"/>
  <c r="L113" i="34"/>
  <c r="B113" i="34"/>
  <c r="Z112" i="34"/>
  <c r="X112" i="34"/>
  <c r="T112" i="34"/>
  <c r="P112" i="34"/>
  <c r="H112" i="34"/>
  <c r="D112" i="34"/>
  <c r="B112" i="34"/>
  <c r="Z111" i="34"/>
  <c r="X111" i="34"/>
  <c r="N111" i="34"/>
  <c r="L111" i="34"/>
  <c r="B111" i="34"/>
  <c r="Z110" i="34"/>
  <c r="X110" i="34"/>
  <c r="N110" i="34"/>
  <c r="L110" i="34"/>
  <c r="B110" i="34"/>
  <c r="X109" i="34"/>
  <c r="T109" i="34"/>
  <c r="Z109" i="34" s="1"/>
  <c r="P109" i="34"/>
  <c r="L109" i="34"/>
  <c r="H109" i="34"/>
  <c r="N109" i="34" s="1"/>
  <c r="D109" i="34"/>
  <c r="B109" i="34"/>
  <c r="X108" i="34"/>
  <c r="Z108" i="34" s="1"/>
  <c r="N108" i="34"/>
  <c r="L108" i="34"/>
  <c r="B108" i="34"/>
  <c r="X107" i="34"/>
  <c r="T107" i="34"/>
  <c r="P107" i="34"/>
  <c r="H107" i="34"/>
  <c r="D107" i="34"/>
  <c r="L107" i="34" s="1"/>
  <c r="B107" i="34"/>
  <c r="Z106" i="34"/>
  <c r="X106" i="34"/>
  <c r="N106" i="34"/>
  <c r="L106" i="34"/>
  <c r="B106" i="34"/>
  <c r="T105" i="34"/>
  <c r="P105" i="34"/>
  <c r="H105" i="34"/>
  <c r="D105" i="34"/>
  <c r="L105" i="34" s="1"/>
  <c r="N105" i="34" s="1"/>
  <c r="B105" i="34"/>
  <c r="X104" i="34"/>
  <c r="Z104" i="34" s="1"/>
  <c r="L104" i="34"/>
  <c r="N104" i="34" s="1"/>
  <c r="B104" i="34"/>
  <c r="T103" i="34"/>
  <c r="P103" i="34"/>
  <c r="X103" i="34" s="1"/>
  <c r="Z103" i="34" s="1"/>
  <c r="L103" i="34"/>
  <c r="H103" i="34"/>
  <c r="D103" i="34"/>
  <c r="B103" i="34"/>
  <c r="Z102" i="34"/>
  <c r="X102" i="34"/>
  <c r="N102" i="34"/>
  <c r="L102" i="34"/>
  <c r="B102" i="34"/>
  <c r="X101" i="34"/>
  <c r="Z101" i="34" s="1"/>
  <c r="L101" i="34"/>
  <c r="N101" i="34" s="1"/>
  <c r="B101" i="34"/>
  <c r="Z100" i="34"/>
  <c r="X100" i="34"/>
  <c r="L100" i="34"/>
  <c r="N100" i="34" s="1"/>
  <c r="B100" i="34"/>
  <c r="Z99" i="34"/>
  <c r="X99" i="34"/>
  <c r="L99" i="34"/>
  <c r="N99" i="34" s="1"/>
  <c r="B99" i="34"/>
  <c r="Z98" i="34"/>
  <c r="X98" i="34"/>
  <c r="N98" i="34"/>
  <c r="L98" i="34"/>
  <c r="B98" i="34"/>
  <c r="T97" i="34"/>
  <c r="P97" i="34"/>
  <c r="H97" i="34"/>
  <c r="D97" i="34"/>
  <c r="L97" i="34" s="1"/>
  <c r="N97" i="34" s="1"/>
  <c r="B97" i="34"/>
  <c r="X96" i="34"/>
  <c r="Z96" i="34" s="1"/>
  <c r="L96" i="34"/>
  <c r="N96" i="34" s="1"/>
  <c r="B96" i="34"/>
  <c r="Z95" i="34"/>
  <c r="X95" i="34"/>
  <c r="L95" i="34"/>
  <c r="N95" i="34" s="1"/>
  <c r="B95" i="34"/>
  <c r="Z94" i="34"/>
  <c r="X94" i="34"/>
  <c r="N94" i="34"/>
  <c r="L94" i="34"/>
  <c r="B94" i="34"/>
  <c r="X93" i="34"/>
  <c r="Z93" i="34" s="1"/>
  <c r="L93" i="34"/>
  <c r="N93" i="34" s="1"/>
  <c r="B93" i="34"/>
  <c r="X92" i="34"/>
  <c r="Z92" i="34" s="1"/>
  <c r="L92" i="34"/>
  <c r="N92" i="34" s="1"/>
  <c r="B92" i="34"/>
  <c r="X91" i="34"/>
  <c r="Z91" i="34" s="1"/>
  <c r="N91" i="34"/>
  <c r="L91" i="34"/>
  <c r="B91" i="34"/>
  <c r="Z90" i="34"/>
  <c r="X90" i="34"/>
  <c r="N90" i="34"/>
  <c r="L90" i="34"/>
  <c r="B90" i="34"/>
  <c r="X89" i="34"/>
  <c r="Z89" i="34" s="1"/>
  <c r="L89" i="34"/>
  <c r="N89" i="34" s="1"/>
  <c r="B89" i="34"/>
  <c r="Z88" i="34"/>
  <c r="X88" i="34"/>
  <c r="T88" i="34"/>
  <c r="P88" i="34"/>
  <c r="H88" i="34"/>
  <c r="L88" i="34" s="1"/>
  <c r="D88" i="34"/>
  <c r="B88" i="34"/>
  <c r="T87" i="34"/>
  <c r="P87" i="34"/>
  <c r="H87" i="34"/>
  <c r="D87" i="34"/>
  <c r="X83" i="34"/>
  <c r="Z83" i="34" s="1"/>
  <c r="N83" i="34"/>
  <c r="L83" i="34"/>
  <c r="B83" i="34"/>
  <c r="Z82" i="34"/>
  <c r="X82" i="34"/>
  <c r="N82" i="34"/>
  <c r="L82" i="34"/>
  <c r="B82" i="34"/>
  <c r="X81" i="34"/>
  <c r="Z81" i="34" s="1"/>
  <c r="L81" i="34"/>
  <c r="N81" i="34" s="1"/>
  <c r="B81" i="34"/>
  <c r="X80" i="34"/>
  <c r="Z80" i="34" s="1"/>
  <c r="L80" i="34"/>
  <c r="N80" i="34" s="1"/>
  <c r="B80" i="34"/>
  <c r="Z79" i="34"/>
  <c r="X79" i="34"/>
  <c r="L79" i="34"/>
  <c r="N79" i="34" s="1"/>
  <c r="B79" i="34"/>
  <c r="Z78" i="34"/>
  <c r="X78" i="34"/>
  <c r="N78" i="34"/>
  <c r="L78" i="34"/>
  <c r="B78" i="34"/>
  <c r="X77" i="34"/>
  <c r="Z77" i="34" s="1"/>
  <c r="L77" i="34"/>
  <c r="N77" i="34" s="1"/>
  <c r="B77" i="34"/>
  <c r="X76" i="34"/>
  <c r="Z76" i="34" s="1"/>
  <c r="N76" i="34"/>
  <c r="L76" i="34"/>
  <c r="B76" i="34"/>
  <c r="Z75" i="34"/>
  <c r="X75" i="34"/>
  <c r="N75" i="34"/>
  <c r="L75" i="34"/>
  <c r="B75" i="34"/>
  <c r="Z74" i="34"/>
  <c r="X74" i="34"/>
  <c r="N74" i="34"/>
  <c r="L74" i="34"/>
  <c r="B74" i="34"/>
  <c r="Z73" i="34"/>
  <c r="X73" i="34"/>
  <c r="N73" i="34"/>
  <c r="L73" i="34"/>
  <c r="B73" i="34"/>
  <c r="Z72" i="34"/>
  <c r="X72" i="34"/>
  <c r="L72" i="34"/>
  <c r="N72" i="34" s="1"/>
  <c r="B72" i="34"/>
  <c r="Z71" i="34"/>
  <c r="X71" i="34"/>
  <c r="L71" i="34"/>
  <c r="N71" i="34" s="1"/>
  <c r="B71" i="34"/>
  <c r="Z70" i="34"/>
  <c r="X70" i="34"/>
  <c r="N70" i="34"/>
  <c r="L70" i="34"/>
  <c r="B70" i="34"/>
  <c r="X69" i="34"/>
  <c r="Z69" i="34" s="1"/>
  <c r="L69" i="34"/>
  <c r="N69" i="34" s="1"/>
  <c r="B69" i="34"/>
  <c r="X68" i="34"/>
  <c r="Z68" i="34" s="1"/>
  <c r="V68" i="34"/>
  <c r="N68" i="34"/>
  <c r="L68" i="34"/>
  <c r="B68" i="34"/>
  <c r="X67" i="34"/>
  <c r="Z67" i="34" s="1"/>
  <c r="N67" i="34"/>
  <c r="L67" i="34"/>
  <c r="B67" i="34"/>
  <c r="Z66" i="34"/>
  <c r="X66" i="34"/>
  <c r="N66" i="34"/>
  <c r="L66" i="34"/>
  <c r="B66" i="34"/>
  <c r="X65" i="34"/>
  <c r="Z65" i="34" s="1"/>
  <c r="L65" i="34"/>
  <c r="N65" i="34" s="1"/>
  <c r="B65" i="34"/>
  <c r="X64" i="34"/>
  <c r="Z64" i="34" s="1"/>
  <c r="L64" i="34"/>
  <c r="N64" i="34" s="1"/>
  <c r="B64" i="34"/>
  <c r="Z63" i="34"/>
  <c r="X63" i="34"/>
  <c r="N63" i="34"/>
  <c r="L63" i="34"/>
  <c r="B63" i="34"/>
  <c r="Z62" i="34"/>
  <c r="X62" i="34"/>
  <c r="N62" i="34"/>
  <c r="L62" i="34"/>
  <c r="B62" i="34"/>
  <c r="X61" i="34"/>
  <c r="Z61" i="34" s="1"/>
  <c r="N61" i="34"/>
  <c r="L61" i="34"/>
  <c r="B61" i="34"/>
  <c r="X60" i="34"/>
  <c r="Z60" i="34" s="1"/>
  <c r="N60" i="34"/>
  <c r="L60" i="34"/>
  <c r="B60" i="34"/>
  <c r="Z59" i="34"/>
  <c r="X59" i="34"/>
  <c r="N59" i="34"/>
  <c r="L59" i="34"/>
  <c r="B59" i="34"/>
  <c r="Z58" i="34"/>
  <c r="T58" i="34"/>
  <c r="X58" i="34" s="1"/>
  <c r="P58" i="34"/>
  <c r="H58" i="34"/>
  <c r="D58" i="34"/>
  <c r="L58" i="34" s="1"/>
  <c r="Z56" i="34"/>
  <c r="T56" i="34"/>
  <c r="P56" i="34"/>
  <c r="X56" i="34" s="1"/>
  <c r="N56" i="34"/>
  <c r="H56" i="34"/>
  <c r="D56" i="34"/>
  <c r="B56" i="34"/>
  <c r="T55" i="34"/>
  <c r="P55" i="34"/>
  <c r="X55" i="34" s="1"/>
  <c r="L55" i="34"/>
  <c r="H55" i="34"/>
  <c r="N55" i="34" s="1"/>
  <c r="D55" i="34"/>
  <c r="B55" i="34"/>
  <c r="T54" i="34"/>
  <c r="P54" i="34"/>
  <c r="L54" i="34"/>
  <c r="N54" i="34" s="1"/>
  <c r="H54" i="34"/>
  <c r="D54" i="34"/>
  <c r="B54" i="34"/>
  <c r="X53" i="34"/>
  <c r="Z53" i="34" s="1"/>
  <c r="T53" i="34"/>
  <c r="P53" i="34"/>
  <c r="N53" i="34"/>
  <c r="L53" i="34"/>
  <c r="H53" i="34"/>
  <c r="D53" i="34"/>
  <c r="B53" i="34"/>
  <c r="Z52" i="34"/>
  <c r="T52" i="34"/>
  <c r="P52" i="34"/>
  <c r="X52" i="34" s="1"/>
  <c r="N52" i="34"/>
  <c r="H52" i="34"/>
  <c r="D52" i="34"/>
  <c r="L52" i="34" s="1"/>
  <c r="B52" i="34"/>
  <c r="X51" i="34"/>
  <c r="T51" i="34"/>
  <c r="P51" i="34"/>
  <c r="H51" i="34"/>
  <c r="N51" i="34" s="1"/>
  <c r="D51" i="34"/>
  <c r="L51" i="34" s="1"/>
  <c r="B51" i="34"/>
  <c r="Z50" i="34"/>
  <c r="X50" i="34"/>
  <c r="T50" i="34"/>
  <c r="P50" i="34"/>
  <c r="H50" i="34"/>
  <c r="D50" i="34"/>
  <c r="B50" i="34"/>
  <c r="Z49" i="34"/>
  <c r="X49" i="34"/>
  <c r="T49" i="34"/>
  <c r="P49" i="34"/>
  <c r="L49" i="34"/>
  <c r="N49" i="34" s="1"/>
  <c r="H49" i="34"/>
  <c r="D49" i="34"/>
  <c r="B49" i="34"/>
  <c r="T48" i="34"/>
  <c r="P48" i="34"/>
  <c r="X48" i="34" s="1"/>
  <c r="Z48" i="34" s="1"/>
  <c r="H48" i="34"/>
  <c r="D48" i="34"/>
  <c r="B48" i="34"/>
  <c r="T47" i="34"/>
  <c r="Z47" i="34" s="1"/>
  <c r="P47" i="34"/>
  <c r="X47" i="34" s="1"/>
  <c r="L47" i="34"/>
  <c r="H47" i="34"/>
  <c r="D47" i="34"/>
  <c r="B47" i="34"/>
  <c r="T46" i="34"/>
  <c r="P46" i="34"/>
  <c r="N46" i="34"/>
  <c r="L46" i="34"/>
  <c r="H46" i="34"/>
  <c r="D46" i="34"/>
  <c r="B46" i="34"/>
  <c r="X45" i="34"/>
  <c r="Z45" i="34" s="1"/>
  <c r="T45" i="34"/>
  <c r="P45" i="34"/>
  <c r="N45" i="34"/>
  <c r="L45" i="34"/>
  <c r="H45" i="34"/>
  <c r="D45" i="34"/>
  <c r="B45" i="34"/>
  <c r="T44" i="34"/>
  <c r="P44" i="34"/>
  <c r="H44" i="34"/>
  <c r="D44" i="34"/>
  <c r="L44" i="34" s="1"/>
  <c r="N44" i="34" s="1"/>
  <c r="B44" i="34"/>
  <c r="X43" i="34"/>
  <c r="T43" i="34"/>
  <c r="P43" i="34"/>
  <c r="H43" i="34"/>
  <c r="N43" i="34" s="1"/>
  <c r="D43" i="34"/>
  <c r="L43" i="34" s="1"/>
  <c r="B43" i="34"/>
  <c r="Z42" i="34"/>
  <c r="X42" i="34"/>
  <c r="T42" i="34"/>
  <c r="P42" i="34"/>
  <c r="H42" i="34"/>
  <c r="D42" i="34"/>
  <c r="B42" i="34"/>
  <c r="Z41" i="34"/>
  <c r="X41" i="34"/>
  <c r="T41" i="34"/>
  <c r="P41" i="34"/>
  <c r="H41" i="34"/>
  <c r="D41" i="34"/>
  <c r="L41" i="34" s="1"/>
  <c r="N41" i="34" s="1"/>
  <c r="B41" i="34"/>
  <c r="T40" i="34"/>
  <c r="P40" i="34"/>
  <c r="X40" i="34" s="1"/>
  <c r="Z40" i="34" s="1"/>
  <c r="H40" i="34"/>
  <c r="D40" i="34"/>
  <c r="B40" i="34"/>
  <c r="T39" i="34"/>
  <c r="Z39" i="34" s="1"/>
  <c r="P39" i="34"/>
  <c r="X39" i="34" s="1"/>
  <c r="L39" i="34"/>
  <c r="H39" i="34"/>
  <c r="D39" i="34"/>
  <c r="B39" i="34"/>
  <c r="T38" i="34"/>
  <c r="P38" i="34"/>
  <c r="N38" i="34"/>
  <c r="L38" i="34"/>
  <c r="H38" i="34"/>
  <c r="D38" i="34"/>
  <c r="B38" i="34"/>
  <c r="T37" i="34"/>
  <c r="P37" i="34"/>
  <c r="X37" i="34" s="1"/>
  <c r="Z37" i="34" s="1"/>
  <c r="N37" i="34"/>
  <c r="L37" i="34"/>
  <c r="H37" i="34"/>
  <c r="D37" i="34"/>
  <c r="B37" i="34"/>
  <c r="T36" i="34"/>
  <c r="P36" i="34"/>
  <c r="X36" i="34" s="1"/>
  <c r="Z36" i="34" s="1"/>
  <c r="H36" i="34"/>
  <c r="D36" i="34"/>
  <c r="L36" i="34" s="1"/>
  <c r="N36" i="34" s="1"/>
  <c r="B36" i="34"/>
  <c r="T35" i="34"/>
  <c r="P35" i="34"/>
  <c r="H35" i="34"/>
  <c r="N35" i="34" s="1"/>
  <c r="D35" i="34"/>
  <c r="L35" i="34" s="1"/>
  <c r="B35" i="34"/>
  <c r="X34" i="34"/>
  <c r="Z34" i="34" s="1"/>
  <c r="T34" i="34"/>
  <c r="P34" i="34"/>
  <c r="H34" i="34"/>
  <c r="D34" i="34"/>
  <c r="B34" i="34"/>
  <c r="Z33" i="34"/>
  <c r="X33" i="34"/>
  <c r="T33" i="34"/>
  <c r="P33" i="34"/>
  <c r="N33" i="34"/>
  <c r="H33" i="34"/>
  <c r="D33" i="34"/>
  <c r="L33" i="34" s="1"/>
  <c r="B33" i="34"/>
  <c r="T32" i="34"/>
  <c r="P32" i="34"/>
  <c r="X32" i="34" s="1"/>
  <c r="Z32" i="34" s="1"/>
  <c r="H32" i="34"/>
  <c r="N32" i="34" s="1"/>
  <c r="D32" i="34"/>
  <c r="B32" i="34"/>
  <c r="T31" i="34"/>
  <c r="Z31" i="34" s="1"/>
  <c r="P31" i="34"/>
  <c r="X31" i="34" s="1"/>
  <c r="H31" i="34"/>
  <c r="L31" i="34" s="1"/>
  <c r="D31" i="34"/>
  <c r="B31" i="34"/>
  <c r="T30" i="34"/>
  <c r="P30" i="34"/>
  <c r="N30" i="34"/>
  <c r="L30" i="34"/>
  <c r="H30" i="34"/>
  <c r="D30" i="34"/>
  <c r="B30" i="34"/>
  <c r="X29" i="34"/>
  <c r="Z29" i="34" s="1"/>
  <c r="T29" i="34"/>
  <c r="P29" i="34"/>
  <c r="N29" i="34"/>
  <c r="L29" i="34"/>
  <c r="H29" i="34"/>
  <c r="D29" i="34"/>
  <c r="B29" i="34"/>
  <c r="T28" i="34"/>
  <c r="P28" i="34"/>
  <c r="N28" i="34"/>
  <c r="H28" i="34"/>
  <c r="D28" i="34"/>
  <c r="L28" i="34" s="1"/>
  <c r="B28" i="34"/>
  <c r="T27" i="34"/>
  <c r="P27" i="34"/>
  <c r="H27" i="34"/>
  <c r="N27" i="34" s="1"/>
  <c r="D27" i="34"/>
  <c r="L27" i="34" s="1"/>
  <c r="B27" i="34"/>
  <c r="X26" i="34"/>
  <c r="Z26" i="34" s="1"/>
  <c r="T26" i="34"/>
  <c r="P26" i="34"/>
  <c r="H26" i="34"/>
  <c r="D26" i="34"/>
  <c r="B26" i="34"/>
  <c r="Z25" i="34"/>
  <c r="X25" i="34"/>
  <c r="T25" i="34"/>
  <c r="P25" i="34"/>
  <c r="N25" i="34"/>
  <c r="H25" i="34"/>
  <c r="D25" i="34"/>
  <c r="L25" i="34" s="1"/>
  <c r="B25" i="34"/>
  <c r="T24" i="34"/>
  <c r="P24" i="34"/>
  <c r="X24" i="34" s="1"/>
  <c r="Z24" i="34" s="1"/>
  <c r="H24" i="34"/>
  <c r="D24" i="34"/>
  <c r="B24" i="34"/>
  <c r="T23" i="34"/>
  <c r="Z23" i="34" s="1"/>
  <c r="P23" i="34"/>
  <c r="X23" i="34" s="1"/>
  <c r="H23" i="34"/>
  <c r="L23" i="34" s="1"/>
  <c r="D23" i="34"/>
  <c r="B23" i="34"/>
  <c r="T22" i="34"/>
  <c r="P22" i="34"/>
  <c r="N22" i="34"/>
  <c r="L22" i="34"/>
  <c r="H22" i="34"/>
  <c r="D22" i="34"/>
  <c r="B22" i="34"/>
  <c r="X21" i="34"/>
  <c r="Z21" i="34" s="1"/>
  <c r="T21" i="34"/>
  <c r="P21" i="34"/>
  <c r="N21" i="34"/>
  <c r="L21" i="34"/>
  <c r="H21" i="34"/>
  <c r="D21" i="34"/>
  <c r="B21" i="34"/>
  <c r="T20" i="34"/>
  <c r="T12" i="34" s="1"/>
  <c r="V167" i="34" s="1"/>
  <c r="P20" i="34"/>
  <c r="H20" i="34"/>
  <c r="D20" i="34"/>
  <c r="L20" i="34" s="1"/>
  <c r="N20" i="34" s="1"/>
  <c r="B20" i="34"/>
  <c r="X19" i="34"/>
  <c r="T19" i="34"/>
  <c r="P19" i="34"/>
  <c r="H19" i="34"/>
  <c r="N19" i="34" s="1"/>
  <c r="D19" i="34"/>
  <c r="L19" i="34" s="1"/>
  <c r="B19" i="34"/>
  <c r="Z18" i="34"/>
  <c r="X18" i="34"/>
  <c r="T18" i="34"/>
  <c r="P18" i="34"/>
  <c r="H18" i="34"/>
  <c r="D18" i="34"/>
  <c r="B18" i="34"/>
  <c r="Z17" i="34"/>
  <c r="X17" i="34"/>
  <c r="T17" i="34"/>
  <c r="P17" i="34"/>
  <c r="H17" i="34"/>
  <c r="D17" i="34"/>
  <c r="L17" i="34" s="1"/>
  <c r="N17" i="34" s="1"/>
  <c r="B17" i="34"/>
  <c r="T16" i="34"/>
  <c r="P16" i="34"/>
  <c r="X16" i="34" s="1"/>
  <c r="Z16" i="34" s="1"/>
  <c r="H16" i="34"/>
  <c r="D16" i="34"/>
  <c r="B16" i="34"/>
  <c r="T15" i="34"/>
  <c r="Z15" i="34" s="1"/>
  <c r="P15" i="34"/>
  <c r="X15" i="34" s="1"/>
  <c r="L15" i="34"/>
  <c r="H15" i="34"/>
  <c r="D15" i="34"/>
  <c r="B15" i="34"/>
  <c r="T14" i="34"/>
  <c r="P14" i="34"/>
  <c r="N14" i="34"/>
  <c r="L14" i="34"/>
  <c r="H14" i="34"/>
  <c r="D14" i="34"/>
  <c r="B14" i="34"/>
  <c r="T13" i="34"/>
  <c r="P13" i="34"/>
  <c r="X13" i="34" s="1"/>
  <c r="Z13" i="34" s="1"/>
  <c r="N13" i="34"/>
  <c r="L13" i="34"/>
  <c r="H13" i="34"/>
  <c r="D13" i="34"/>
  <c r="B13" i="34"/>
  <c r="P12" i="34"/>
  <c r="D4" i="34"/>
  <c r="B39" i="33"/>
  <c r="B38" i="33"/>
  <c r="T34" i="33"/>
  <c r="Z34" i="33" s="1"/>
  <c r="P34" i="33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T25" i="33"/>
  <c r="Z25" i="33" s="1"/>
  <c r="P25" i="33"/>
  <c r="H25" i="33"/>
  <c r="N25" i="33" s="1"/>
  <c r="D25" i="33"/>
  <c r="B25" i="33"/>
  <c r="T24" i="33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P12" i="33"/>
  <c r="R27" i="33" s="1"/>
  <c r="H12" i="33"/>
  <c r="J20" i="33" s="1"/>
  <c r="D12" i="33"/>
  <c r="F18" i="33" s="1"/>
  <c r="D5" i="33"/>
  <c r="D4" i="33"/>
  <c r="B39" i="32"/>
  <c r="B38" i="32"/>
  <c r="T34" i="32"/>
  <c r="P34" i="32"/>
  <c r="H34" i="32"/>
  <c r="N34" i="32" s="1"/>
  <c r="D34" i="32"/>
  <c r="T33" i="32"/>
  <c r="Z33" i="32" s="1"/>
  <c r="P33" i="32"/>
  <c r="H33" i="32"/>
  <c r="N33" i="32" s="1"/>
  <c r="D33" i="32"/>
  <c r="L33" i="32" s="1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L25" i="32" s="1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P12" i="32"/>
  <c r="R34" i="32" s="1"/>
  <c r="H12" i="32"/>
  <c r="J16" i="32" s="1"/>
  <c r="D12" i="32"/>
  <c r="F31" i="32" s="1"/>
  <c r="D5" i="32"/>
  <c r="D4" i="32"/>
  <c r="Z83" i="31"/>
  <c r="X83" i="31"/>
  <c r="N83" i="31"/>
  <c r="L83" i="31"/>
  <c r="Z79" i="31"/>
  <c r="X79" i="31"/>
  <c r="T79" i="31"/>
  <c r="P79" i="31"/>
  <c r="H79" i="31"/>
  <c r="N79" i="31" s="1"/>
  <c r="D79" i="31"/>
  <c r="B79" i="31"/>
  <c r="T78" i="31"/>
  <c r="P78" i="31"/>
  <c r="L78" i="31"/>
  <c r="N78" i="31" s="1"/>
  <c r="H78" i="31"/>
  <c r="D78" i="31"/>
  <c r="D77" i="31" s="1"/>
  <c r="L77" i="31" s="1"/>
  <c r="B78" i="31"/>
  <c r="H77" i="31"/>
  <c r="X75" i="31"/>
  <c r="Z75" i="31" s="1"/>
  <c r="N75" i="31"/>
  <c r="L75" i="31"/>
  <c r="B75" i="31"/>
  <c r="X74" i="31"/>
  <c r="T74" i="31"/>
  <c r="Z74" i="31" s="1"/>
  <c r="P74" i="31"/>
  <c r="H74" i="31"/>
  <c r="N74" i="31" s="1"/>
  <c r="D74" i="31"/>
  <c r="L74" i="31" s="1"/>
  <c r="B74" i="31"/>
  <c r="Z73" i="31"/>
  <c r="X73" i="31"/>
  <c r="N73" i="31"/>
  <c r="L73" i="31"/>
  <c r="B73" i="31"/>
  <c r="T72" i="31"/>
  <c r="P72" i="31"/>
  <c r="N72" i="31"/>
  <c r="L72" i="31"/>
  <c r="H72" i="31"/>
  <c r="D72" i="31"/>
  <c r="B72" i="31"/>
  <c r="X71" i="31"/>
  <c r="Z71" i="31" s="1"/>
  <c r="N71" i="31"/>
  <c r="L71" i="31"/>
  <c r="B71" i="31"/>
  <c r="X70" i="31"/>
  <c r="Z70" i="31" s="1"/>
  <c r="N70" i="31"/>
  <c r="L70" i="31"/>
  <c r="B70" i="31"/>
  <c r="Z69" i="31"/>
  <c r="X69" i="31"/>
  <c r="L69" i="31"/>
  <c r="N69" i="31" s="1"/>
  <c r="B69" i="31"/>
  <c r="Z68" i="31"/>
  <c r="X68" i="31"/>
  <c r="N68" i="31"/>
  <c r="L68" i="31"/>
  <c r="B68" i="31"/>
  <c r="Z67" i="31"/>
  <c r="X67" i="31"/>
  <c r="N67" i="31"/>
  <c r="L67" i="31"/>
  <c r="B67" i="31"/>
  <c r="X66" i="31"/>
  <c r="T66" i="31"/>
  <c r="P66" i="31"/>
  <c r="H66" i="31"/>
  <c r="D66" i="31"/>
  <c r="B66" i="31"/>
  <c r="Z65" i="31"/>
  <c r="X65" i="31"/>
  <c r="N65" i="31"/>
  <c r="L65" i="31"/>
  <c r="B65" i="31"/>
  <c r="T64" i="31"/>
  <c r="P64" i="31"/>
  <c r="X64" i="31" s="1"/>
  <c r="H64" i="31"/>
  <c r="D64" i="31"/>
  <c r="L64" i="31" s="1"/>
  <c r="N64" i="31" s="1"/>
  <c r="B64" i="31"/>
  <c r="Z63" i="31"/>
  <c r="X63" i="31"/>
  <c r="N63" i="31"/>
  <c r="L63" i="31"/>
  <c r="B63" i="31"/>
  <c r="X62" i="31"/>
  <c r="Z62" i="31" s="1"/>
  <c r="L62" i="31"/>
  <c r="N62" i="31" s="1"/>
  <c r="B62" i="31"/>
  <c r="Z61" i="31"/>
  <c r="X61" i="31"/>
  <c r="N61" i="31"/>
  <c r="L61" i="31"/>
  <c r="B61" i="31"/>
  <c r="T60" i="31"/>
  <c r="P60" i="31"/>
  <c r="X60" i="31" s="1"/>
  <c r="H60" i="31"/>
  <c r="D60" i="31"/>
  <c r="L60" i="31" s="1"/>
  <c r="N60" i="31" s="1"/>
  <c r="B60" i="31"/>
  <c r="Z59" i="31"/>
  <c r="X59" i="31"/>
  <c r="N59" i="31"/>
  <c r="L59" i="31"/>
  <c r="B59" i="31"/>
  <c r="Z58" i="31"/>
  <c r="T58" i="31"/>
  <c r="P58" i="31"/>
  <c r="X58" i="31" s="1"/>
  <c r="H58" i="31"/>
  <c r="L58" i="31" s="1"/>
  <c r="D58" i="31"/>
  <c r="B58" i="31"/>
  <c r="Z57" i="31"/>
  <c r="X57" i="31"/>
  <c r="N57" i="31"/>
  <c r="L57" i="31"/>
  <c r="B57" i="31"/>
  <c r="Z56" i="31"/>
  <c r="X56" i="31"/>
  <c r="N56" i="31"/>
  <c r="L56" i="31"/>
  <c r="B56" i="31"/>
  <c r="X55" i="31"/>
  <c r="Z55" i="31" s="1"/>
  <c r="T55" i="31"/>
  <c r="P55" i="31"/>
  <c r="N55" i="31"/>
  <c r="L55" i="31"/>
  <c r="H55" i="31"/>
  <c r="D55" i="31"/>
  <c r="B55" i="31"/>
  <c r="X54" i="31"/>
  <c r="Z54" i="31" s="1"/>
  <c r="N54" i="31"/>
  <c r="L54" i="31"/>
  <c r="B54" i="31"/>
  <c r="Z53" i="31"/>
  <c r="X53" i="31"/>
  <c r="T53" i="31"/>
  <c r="P53" i="31"/>
  <c r="H53" i="31"/>
  <c r="D53" i="31"/>
  <c r="B53" i="31"/>
  <c r="Z52" i="31"/>
  <c r="X52" i="31"/>
  <c r="N52" i="31"/>
  <c r="L52" i="31"/>
  <c r="B52" i="31"/>
  <c r="T51" i="31"/>
  <c r="Z51" i="31" s="1"/>
  <c r="P51" i="31"/>
  <c r="X51" i="31" s="1"/>
  <c r="N51" i="31"/>
  <c r="H51" i="31"/>
  <c r="D51" i="31"/>
  <c r="L51" i="31" s="1"/>
  <c r="B51" i="31"/>
  <c r="Z50" i="31"/>
  <c r="X50" i="31"/>
  <c r="L50" i="31"/>
  <c r="N50" i="31" s="1"/>
  <c r="B50" i="31"/>
  <c r="Z49" i="31"/>
  <c r="T49" i="31"/>
  <c r="P49" i="31"/>
  <c r="X49" i="31" s="1"/>
  <c r="L49" i="31"/>
  <c r="N49" i="31" s="1"/>
  <c r="H49" i="31"/>
  <c r="D49" i="31"/>
  <c r="B49" i="31"/>
  <c r="Z48" i="31"/>
  <c r="X48" i="31"/>
  <c r="N48" i="31"/>
  <c r="L48" i="31"/>
  <c r="B48" i="31"/>
  <c r="Z47" i="31"/>
  <c r="X47" i="31"/>
  <c r="T47" i="31"/>
  <c r="P47" i="31"/>
  <c r="L47" i="31"/>
  <c r="H47" i="31"/>
  <c r="N47" i="31" s="1"/>
  <c r="D47" i="31"/>
  <c r="B47" i="31"/>
  <c r="X46" i="31"/>
  <c r="Z46" i="31" s="1"/>
  <c r="L46" i="31"/>
  <c r="N46" i="31" s="1"/>
  <c r="B46" i="31"/>
  <c r="X45" i="31"/>
  <c r="Z45" i="31" s="1"/>
  <c r="N45" i="31"/>
  <c r="L45" i="31"/>
  <c r="B45" i="31"/>
  <c r="Z44" i="31"/>
  <c r="X44" i="31"/>
  <c r="N44" i="31"/>
  <c r="L44" i="31"/>
  <c r="B44" i="31"/>
  <c r="X43" i="31"/>
  <c r="T43" i="31"/>
  <c r="P43" i="31"/>
  <c r="H43" i="31"/>
  <c r="L43" i="31" s="1"/>
  <c r="N43" i="31" s="1"/>
  <c r="D43" i="31"/>
  <c r="B43" i="31"/>
  <c r="X42" i="31"/>
  <c r="Z42" i="31" s="1"/>
  <c r="N42" i="31"/>
  <c r="L42" i="31"/>
  <c r="B42" i="31"/>
  <c r="X41" i="31"/>
  <c r="Z41" i="31" s="1"/>
  <c r="N41" i="31"/>
  <c r="L41" i="31"/>
  <c r="B41" i="31"/>
  <c r="Z40" i="31"/>
  <c r="X40" i="31"/>
  <c r="N40" i="31"/>
  <c r="L40" i="31"/>
  <c r="B40" i="31"/>
  <c r="X39" i="31"/>
  <c r="Z39" i="31" s="1"/>
  <c r="L39" i="31"/>
  <c r="N39" i="31" s="1"/>
  <c r="B39" i="31"/>
  <c r="Z38" i="31"/>
  <c r="X38" i="31"/>
  <c r="L38" i="31"/>
  <c r="N38" i="31" s="1"/>
  <c r="B38" i="31"/>
  <c r="Z37" i="31"/>
  <c r="X37" i="31"/>
  <c r="L37" i="31"/>
  <c r="N37" i="31" s="1"/>
  <c r="B37" i="31"/>
  <c r="Z36" i="31"/>
  <c r="X36" i="31"/>
  <c r="N36" i="31"/>
  <c r="L36" i="31"/>
  <c r="B36" i="31"/>
  <c r="X35" i="31"/>
  <c r="Z35" i="31" s="1"/>
  <c r="L35" i="31"/>
  <c r="N35" i="31" s="1"/>
  <c r="B35" i="31"/>
  <c r="T34" i="31"/>
  <c r="P34" i="31"/>
  <c r="X34" i="31" s="1"/>
  <c r="H34" i="31"/>
  <c r="D34" i="31"/>
  <c r="L34" i="31" s="1"/>
  <c r="B34" i="31"/>
  <c r="T33" i="31"/>
  <c r="P33" i="31"/>
  <c r="X33" i="31" s="1"/>
  <c r="Z33" i="31" s="1"/>
  <c r="L33" i="31"/>
  <c r="H33" i="31"/>
  <c r="N33" i="31" s="1"/>
  <c r="D33" i="31"/>
  <c r="Z29" i="31"/>
  <c r="X29" i="31"/>
  <c r="N29" i="31"/>
  <c r="L29" i="31"/>
  <c r="B29" i="31"/>
  <c r="Z28" i="31"/>
  <c r="X28" i="31"/>
  <c r="N28" i="31"/>
  <c r="L28" i="31"/>
  <c r="B28" i="31"/>
  <c r="Z27" i="31"/>
  <c r="X27" i="31"/>
  <c r="N27" i="31"/>
  <c r="L27" i="31"/>
  <c r="B27" i="31"/>
  <c r="T26" i="31"/>
  <c r="Z26" i="31" s="1"/>
  <c r="P26" i="31"/>
  <c r="X26" i="31" s="1"/>
  <c r="H26" i="31"/>
  <c r="N26" i="31" s="1"/>
  <c r="D26" i="31"/>
  <c r="L26" i="31" s="1"/>
  <c r="X24" i="31"/>
  <c r="Z24" i="31" s="1"/>
  <c r="T24" i="31"/>
  <c r="P24" i="31"/>
  <c r="L24" i="31"/>
  <c r="H24" i="31"/>
  <c r="D24" i="31"/>
  <c r="B24" i="31"/>
  <c r="Z23" i="31"/>
  <c r="X23" i="31"/>
  <c r="T23" i="31"/>
  <c r="P23" i="31"/>
  <c r="H23" i="31"/>
  <c r="D23" i="31"/>
  <c r="L23" i="31" s="1"/>
  <c r="N23" i="31" s="1"/>
  <c r="B23" i="31"/>
  <c r="Z22" i="31"/>
  <c r="T22" i="31"/>
  <c r="P22" i="31"/>
  <c r="X22" i="31" s="1"/>
  <c r="N22" i="31"/>
  <c r="H22" i="31"/>
  <c r="D22" i="31"/>
  <c r="L22" i="31" s="1"/>
  <c r="B22" i="31"/>
  <c r="T21" i="31"/>
  <c r="P21" i="31"/>
  <c r="X21" i="31" s="1"/>
  <c r="L21" i="31"/>
  <c r="H21" i="31"/>
  <c r="D21" i="31"/>
  <c r="B21" i="31"/>
  <c r="X20" i="31"/>
  <c r="T20" i="31"/>
  <c r="P20" i="31"/>
  <c r="N20" i="31"/>
  <c r="L20" i="31"/>
  <c r="H20" i="31"/>
  <c r="D20" i="31"/>
  <c r="B20" i="31"/>
  <c r="T19" i="31"/>
  <c r="P19" i="31"/>
  <c r="X19" i="31" s="1"/>
  <c r="Z19" i="31" s="1"/>
  <c r="N19" i="31"/>
  <c r="L19" i="31"/>
  <c r="H19" i="31"/>
  <c r="D19" i="31"/>
  <c r="B19" i="31"/>
  <c r="T18" i="31"/>
  <c r="P18" i="31"/>
  <c r="X18" i="31" s="1"/>
  <c r="Z18" i="31" s="1"/>
  <c r="H18" i="31"/>
  <c r="D18" i="31"/>
  <c r="L18" i="31" s="1"/>
  <c r="N18" i="31" s="1"/>
  <c r="B18" i="31"/>
  <c r="T17" i="31"/>
  <c r="P17" i="31"/>
  <c r="H17" i="31"/>
  <c r="N17" i="31" s="1"/>
  <c r="D17" i="31"/>
  <c r="L17" i="31" s="1"/>
  <c r="B17" i="31"/>
  <c r="X16" i="31"/>
  <c r="Z16" i="31" s="1"/>
  <c r="T16" i="31"/>
  <c r="P16" i="31"/>
  <c r="L16" i="31"/>
  <c r="H16" i="31"/>
  <c r="D16" i="31"/>
  <c r="B16" i="31"/>
  <c r="Z15" i="31"/>
  <c r="X15" i="31"/>
  <c r="T15" i="31"/>
  <c r="P15" i="31"/>
  <c r="H15" i="31"/>
  <c r="D15" i="31"/>
  <c r="L15" i="31" s="1"/>
  <c r="N15" i="31" s="1"/>
  <c r="B15" i="31"/>
  <c r="T14" i="31"/>
  <c r="P14" i="31"/>
  <c r="X14" i="31" s="1"/>
  <c r="Z14" i="31" s="1"/>
  <c r="H14" i="31"/>
  <c r="D14" i="31"/>
  <c r="B14" i="31"/>
  <c r="T13" i="31"/>
  <c r="P13" i="31"/>
  <c r="L13" i="31"/>
  <c r="H13" i="31"/>
  <c r="D13" i="31"/>
  <c r="D12" i="31" s="1"/>
  <c r="B13" i="3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Z25" i="30" s="1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36" i="30" s="1"/>
  <c r="P12" i="30"/>
  <c r="R36" i="30" s="1"/>
  <c r="H12" i="30"/>
  <c r="J18" i="30" s="1"/>
  <c r="D12" i="30"/>
  <c r="F20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D33" i="29"/>
  <c r="T29" i="29"/>
  <c r="Z29" i="29" s="1"/>
  <c r="P29" i="29"/>
  <c r="H29" i="29"/>
  <c r="D29" i="29"/>
  <c r="T25" i="29"/>
  <c r="P25" i="29"/>
  <c r="H25" i="29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D15" i="29"/>
  <c r="T13" i="29"/>
  <c r="Z13" i="29" s="1"/>
  <c r="P13" i="29"/>
  <c r="H13" i="29"/>
  <c r="N13" i="29" s="1"/>
  <c r="D13" i="29"/>
  <c r="B13" i="29"/>
  <c r="T12" i="29"/>
  <c r="V22" i="29" s="1"/>
  <c r="P12" i="29"/>
  <c r="R21" i="29" s="1"/>
  <c r="H12" i="29"/>
  <c r="J22" i="29" s="1"/>
  <c r="D12" i="29"/>
  <c r="D5" i="29"/>
  <c r="D4" i="29"/>
  <c r="Z162" i="28"/>
  <c r="X162" i="28"/>
  <c r="L162" i="28"/>
  <c r="N162" i="28" s="1"/>
  <c r="T158" i="28"/>
  <c r="P158" i="28"/>
  <c r="N158" i="28"/>
  <c r="H158" i="28"/>
  <c r="D158" i="28"/>
  <c r="B158" i="28"/>
  <c r="X157" i="28"/>
  <c r="Z157" i="28" s="1"/>
  <c r="T157" i="28"/>
  <c r="P157" i="28"/>
  <c r="H157" i="28"/>
  <c r="L157" i="28" s="1"/>
  <c r="N157" i="28" s="1"/>
  <c r="D157" i="28"/>
  <c r="B157" i="28"/>
  <c r="P156" i="28"/>
  <c r="H156" i="28"/>
  <c r="Z154" i="28"/>
  <c r="X154" i="28"/>
  <c r="L154" i="28"/>
  <c r="N154" i="28" s="1"/>
  <c r="B154" i="28"/>
  <c r="T153" i="28"/>
  <c r="P153" i="28"/>
  <c r="X153" i="28" s="1"/>
  <c r="Z153" i="28" s="1"/>
  <c r="L153" i="28"/>
  <c r="N153" i="28" s="1"/>
  <c r="H153" i="28"/>
  <c r="D153" i="28"/>
  <c r="B153" i="28"/>
  <c r="Z152" i="28"/>
  <c r="X152" i="28"/>
  <c r="L152" i="28"/>
  <c r="N152" i="28" s="1"/>
  <c r="B152" i="28"/>
  <c r="X151" i="28"/>
  <c r="Z151" i="28" s="1"/>
  <c r="T151" i="28"/>
  <c r="P151" i="28"/>
  <c r="H151" i="28"/>
  <c r="L151" i="28" s="1"/>
  <c r="N151" i="28" s="1"/>
  <c r="D151" i="28"/>
  <c r="B151" i="28"/>
  <c r="X150" i="28"/>
  <c r="Z150" i="28" s="1"/>
  <c r="N150" i="28"/>
  <c r="L150" i="28"/>
  <c r="B150" i="28"/>
  <c r="T149" i="28"/>
  <c r="X149" i="28" s="1"/>
  <c r="Z149" i="28" s="1"/>
  <c r="P149" i="28"/>
  <c r="H149" i="28"/>
  <c r="D149" i="28"/>
  <c r="L149" i="28" s="1"/>
  <c r="B149" i="28"/>
  <c r="X148" i="28"/>
  <c r="Z148" i="28" s="1"/>
  <c r="N148" i="28"/>
  <c r="L148" i="28"/>
  <c r="B148" i="28"/>
  <c r="Z147" i="28"/>
  <c r="X147" i="28"/>
  <c r="N147" i="28"/>
  <c r="L147" i="28"/>
  <c r="B147" i="28"/>
  <c r="X146" i="28"/>
  <c r="Z146" i="28" s="1"/>
  <c r="N146" i="28"/>
  <c r="L146" i="28"/>
  <c r="B146" i="28"/>
  <c r="Z145" i="28"/>
  <c r="X145" i="28"/>
  <c r="N145" i="28"/>
  <c r="L145" i="28"/>
  <c r="B145" i="28"/>
  <c r="Z144" i="28"/>
  <c r="X144" i="28"/>
  <c r="N144" i="28"/>
  <c r="L144" i="28"/>
  <c r="B144" i="28"/>
  <c r="X143" i="28"/>
  <c r="Z143" i="28" s="1"/>
  <c r="N143" i="28"/>
  <c r="L143" i="28"/>
  <c r="B143" i="28"/>
  <c r="T142" i="28"/>
  <c r="P142" i="28"/>
  <c r="X142" i="28" s="1"/>
  <c r="Z142" i="28" s="1"/>
  <c r="H142" i="28"/>
  <c r="D142" i="28"/>
  <c r="L142" i="28" s="1"/>
  <c r="N142" i="28" s="1"/>
  <c r="B142" i="28"/>
  <c r="Z141" i="28"/>
  <c r="X141" i="28"/>
  <c r="N141" i="28"/>
  <c r="L141" i="28"/>
  <c r="B141" i="28"/>
  <c r="Z140" i="28"/>
  <c r="X140" i="28"/>
  <c r="L140" i="28"/>
  <c r="N140" i="28" s="1"/>
  <c r="B140" i="28"/>
  <c r="X139" i="28"/>
  <c r="Z139" i="28" s="1"/>
  <c r="T139" i="28"/>
  <c r="P139" i="28"/>
  <c r="H139" i="28"/>
  <c r="L139" i="28" s="1"/>
  <c r="N139" i="28" s="1"/>
  <c r="D139" i="28"/>
  <c r="B139" i="28"/>
  <c r="X138" i="28"/>
  <c r="Z138" i="28" s="1"/>
  <c r="N138" i="28"/>
  <c r="L138" i="28"/>
  <c r="B138" i="28"/>
  <c r="Z137" i="28"/>
  <c r="X137" i="28"/>
  <c r="N137" i="28"/>
  <c r="L137" i="28"/>
  <c r="B137" i="28"/>
  <c r="Z136" i="28"/>
  <c r="X136" i="28"/>
  <c r="N136" i="28"/>
  <c r="L136" i="28"/>
  <c r="B136" i="28"/>
  <c r="X135" i="28"/>
  <c r="Z135" i="28" s="1"/>
  <c r="T135" i="28"/>
  <c r="P135" i="28"/>
  <c r="H135" i="28"/>
  <c r="L135" i="28" s="1"/>
  <c r="N135" i="28" s="1"/>
  <c r="D135" i="28"/>
  <c r="B135" i="28"/>
  <c r="Z134" i="28"/>
  <c r="X134" i="28"/>
  <c r="N134" i="28"/>
  <c r="L134" i="28"/>
  <c r="B134" i="28"/>
  <c r="Z133" i="28"/>
  <c r="X133" i="28"/>
  <c r="N133" i="28"/>
  <c r="L133" i="28"/>
  <c r="B133" i="28"/>
  <c r="T132" i="28"/>
  <c r="P132" i="28"/>
  <c r="X132" i="28" s="1"/>
  <c r="Z132" i="28" s="1"/>
  <c r="L132" i="28"/>
  <c r="H132" i="28"/>
  <c r="N132" i="28" s="1"/>
  <c r="D132" i="28"/>
  <c r="B132" i="28"/>
  <c r="Z131" i="28"/>
  <c r="X131" i="28"/>
  <c r="N131" i="28"/>
  <c r="L131" i="28"/>
  <c r="B131" i="28"/>
  <c r="X130" i="28"/>
  <c r="Z130" i="28" s="1"/>
  <c r="N130" i="28"/>
  <c r="L130" i="28"/>
  <c r="B130" i="28"/>
  <c r="Z129" i="28"/>
  <c r="X129" i="28"/>
  <c r="N129" i="28"/>
  <c r="L129" i="28"/>
  <c r="B129" i="28"/>
  <c r="T128" i="28"/>
  <c r="P128" i="28"/>
  <c r="X128" i="28" s="1"/>
  <c r="Z128" i="28" s="1"/>
  <c r="L128" i="28"/>
  <c r="H128" i="28"/>
  <c r="N128" i="28" s="1"/>
  <c r="D128" i="28"/>
  <c r="B128" i="28"/>
  <c r="Z127" i="28"/>
  <c r="X127" i="28"/>
  <c r="L127" i="28"/>
  <c r="N127" i="28" s="1"/>
  <c r="B127" i="28"/>
  <c r="X126" i="28"/>
  <c r="T126" i="28"/>
  <c r="Z126" i="28" s="1"/>
  <c r="P126" i="28"/>
  <c r="H126" i="28"/>
  <c r="D126" i="28"/>
  <c r="B126" i="28"/>
  <c r="Z125" i="28"/>
  <c r="X125" i="28"/>
  <c r="N125" i="28"/>
  <c r="L125" i="28"/>
  <c r="B125" i="28"/>
  <c r="T124" i="28"/>
  <c r="P124" i="28"/>
  <c r="N124" i="28"/>
  <c r="H124" i="28"/>
  <c r="D124" i="28"/>
  <c r="L124" i="28" s="1"/>
  <c r="B124" i="28"/>
  <c r="Z123" i="28"/>
  <c r="X123" i="28"/>
  <c r="N123" i="28"/>
  <c r="L123" i="28"/>
  <c r="B123" i="28"/>
  <c r="Z122" i="28"/>
  <c r="X122" i="28"/>
  <c r="L122" i="28"/>
  <c r="N122" i="28" s="1"/>
  <c r="B122" i="28"/>
  <c r="T121" i="28"/>
  <c r="P121" i="28"/>
  <c r="X121" i="28" s="1"/>
  <c r="Z121" i="28" s="1"/>
  <c r="L121" i="28"/>
  <c r="N121" i="28" s="1"/>
  <c r="H121" i="28"/>
  <c r="D121" i="28"/>
  <c r="B121" i="28"/>
  <c r="Z120" i="28"/>
  <c r="X120" i="28"/>
  <c r="L120" i="28"/>
  <c r="N120" i="28" s="1"/>
  <c r="B120" i="28"/>
  <c r="X119" i="28"/>
  <c r="Z119" i="28" s="1"/>
  <c r="T119" i="28"/>
  <c r="P119" i="28"/>
  <c r="H119" i="28"/>
  <c r="L119" i="28" s="1"/>
  <c r="N119" i="28" s="1"/>
  <c r="D119" i="28"/>
  <c r="B119" i="28"/>
  <c r="X118" i="28"/>
  <c r="Z118" i="28" s="1"/>
  <c r="N118" i="28"/>
  <c r="L118" i="28"/>
  <c r="B118" i="28"/>
  <c r="T117" i="28"/>
  <c r="X117" i="28" s="1"/>
  <c r="Z117" i="28" s="1"/>
  <c r="P117" i="28"/>
  <c r="H117" i="28"/>
  <c r="N117" i="28" s="1"/>
  <c r="D117" i="28"/>
  <c r="L117" i="28" s="1"/>
  <c r="B117" i="28"/>
  <c r="X116" i="28"/>
  <c r="Z116" i="28" s="1"/>
  <c r="N116" i="28"/>
  <c r="L116" i="28"/>
  <c r="B116" i="28"/>
  <c r="Z115" i="28"/>
  <c r="X115" i="28"/>
  <c r="L115" i="28"/>
  <c r="N115" i="28" s="1"/>
  <c r="B115" i="28"/>
  <c r="X114" i="28"/>
  <c r="T114" i="28"/>
  <c r="P114" i="28"/>
  <c r="H114" i="28"/>
  <c r="D114" i="28"/>
  <c r="B114" i="28"/>
  <c r="Z113" i="28"/>
  <c r="X113" i="28"/>
  <c r="N113" i="28"/>
  <c r="L113" i="28"/>
  <c r="B113" i="28"/>
  <c r="T112" i="28"/>
  <c r="P112" i="28"/>
  <c r="N112" i="28"/>
  <c r="H112" i="28"/>
  <c r="D112" i="28"/>
  <c r="L112" i="28" s="1"/>
  <c r="B112" i="28"/>
  <c r="Z111" i="28"/>
  <c r="X111" i="28"/>
  <c r="N111" i="28"/>
  <c r="L111" i="28"/>
  <c r="B111" i="28"/>
  <c r="Z110" i="28"/>
  <c r="T110" i="28"/>
  <c r="P110" i="28"/>
  <c r="X110" i="28" s="1"/>
  <c r="N110" i="28"/>
  <c r="H110" i="28"/>
  <c r="D110" i="28"/>
  <c r="L110" i="28" s="1"/>
  <c r="B110" i="28"/>
  <c r="Z109" i="28"/>
  <c r="X109" i="28"/>
  <c r="N109" i="28"/>
  <c r="L109" i="28"/>
  <c r="B109" i="28"/>
  <c r="Z108" i="28"/>
  <c r="X108" i="28"/>
  <c r="N108" i="28"/>
  <c r="L108" i="28"/>
  <c r="B108" i="28"/>
  <c r="Z107" i="28"/>
  <c r="X107" i="28"/>
  <c r="T107" i="28"/>
  <c r="P107" i="28"/>
  <c r="N107" i="28"/>
  <c r="H107" i="28"/>
  <c r="L107" i="28" s="1"/>
  <c r="D107" i="28"/>
  <c r="B107" i="28"/>
  <c r="X106" i="28"/>
  <c r="Z106" i="28" s="1"/>
  <c r="N106" i="28"/>
  <c r="L106" i="28"/>
  <c r="B106" i="28"/>
  <c r="T105" i="28"/>
  <c r="X105" i="28" s="1"/>
  <c r="Z105" i="28" s="1"/>
  <c r="P105" i="28"/>
  <c r="H105" i="28"/>
  <c r="D105" i="28"/>
  <c r="L105" i="28" s="1"/>
  <c r="B105" i="28"/>
  <c r="X104" i="28"/>
  <c r="Z104" i="28" s="1"/>
  <c r="N104" i="28"/>
  <c r="L104" i="28"/>
  <c r="B104" i="28"/>
  <c r="T103" i="28"/>
  <c r="P103" i="28"/>
  <c r="X103" i="28" s="1"/>
  <c r="H103" i="28"/>
  <c r="D103" i="28"/>
  <c r="L103" i="28" s="1"/>
  <c r="N103" i="28" s="1"/>
  <c r="B103" i="28"/>
  <c r="Z102" i="28"/>
  <c r="X102" i="28"/>
  <c r="L102" i="28"/>
  <c r="N102" i="28" s="1"/>
  <c r="B102" i="28"/>
  <c r="T101" i="28"/>
  <c r="P101" i="28"/>
  <c r="X101" i="28" s="1"/>
  <c r="Z101" i="28" s="1"/>
  <c r="L101" i="28"/>
  <c r="N101" i="28" s="1"/>
  <c r="H101" i="28"/>
  <c r="D101" i="28"/>
  <c r="B101" i="28"/>
  <c r="Z100" i="28"/>
  <c r="X100" i="28"/>
  <c r="L100" i="28"/>
  <c r="N100" i="28" s="1"/>
  <c r="B100" i="28"/>
  <c r="X99" i="28"/>
  <c r="Z99" i="28" s="1"/>
  <c r="N99" i="28"/>
  <c r="L99" i="28"/>
  <c r="B99" i="28"/>
  <c r="Z98" i="28"/>
  <c r="X98" i="28"/>
  <c r="L98" i="28"/>
  <c r="N98" i="28" s="1"/>
  <c r="B98" i="28"/>
  <c r="Z97" i="28"/>
  <c r="X97" i="28"/>
  <c r="N97" i="28"/>
  <c r="L97" i="28"/>
  <c r="B97" i="28"/>
  <c r="X96" i="28"/>
  <c r="Z96" i="28" s="1"/>
  <c r="N96" i="28"/>
  <c r="L96" i="28"/>
  <c r="B96" i="28"/>
  <c r="T95" i="28"/>
  <c r="Z95" i="28" s="1"/>
  <c r="P95" i="28"/>
  <c r="X95" i="28" s="1"/>
  <c r="H95" i="28"/>
  <c r="D95" i="28"/>
  <c r="L95" i="28" s="1"/>
  <c r="N95" i="28" s="1"/>
  <c r="B95" i="28"/>
  <c r="Z94" i="28"/>
  <c r="X94" i="28"/>
  <c r="L94" i="28"/>
  <c r="N94" i="28" s="1"/>
  <c r="B94" i="28"/>
  <c r="Z93" i="28"/>
  <c r="X93" i="28"/>
  <c r="N93" i="28"/>
  <c r="L93" i="28"/>
  <c r="B93" i="28"/>
  <c r="X92" i="28"/>
  <c r="Z92" i="28" s="1"/>
  <c r="N92" i="28"/>
  <c r="L92" i="28"/>
  <c r="B92" i="28"/>
  <c r="Z91" i="28"/>
  <c r="X91" i="28"/>
  <c r="L91" i="28"/>
  <c r="N91" i="28" s="1"/>
  <c r="B91" i="28"/>
  <c r="X90" i="28"/>
  <c r="Z90" i="28" s="1"/>
  <c r="N90" i="28"/>
  <c r="L90" i="28"/>
  <c r="B90" i="28"/>
  <c r="Z89" i="28"/>
  <c r="X89" i="28"/>
  <c r="N89" i="28"/>
  <c r="L89" i="28"/>
  <c r="B89" i="28"/>
  <c r="Z88" i="28"/>
  <c r="X88" i="28"/>
  <c r="L88" i="28"/>
  <c r="N88" i="28" s="1"/>
  <c r="B88" i="28"/>
  <c r="X87" i="28"/>
  <c r="Z87" i="28" s="1"/>
  <c r="N87" i="28"/>
  <c r="L87" i="28"/>
  <c r="B87" i="28"/>
  <c r="T86" i="28"/>
  <c r="P86" i="28"/>
  <c r="X86" i="28" s="1"/>
  <c r="Z86" i="28" s="1"/>
  <c r="H86" i="28"/>
  <c r="D86" i="28"/>
  <c r="L86" i="28" s="1"/>
  <c r="N86" i="28" s="1"/>
  <c r="B86" i="28"/>
  <c r="T85" i="28"/>
  <c r="X85" i="28" s="1"/>
  <c r="Z85" i="28" s="1"/>
  <c r="P85" i="28"/>
  <c r="H85" i="28"/>
  <c r="D85" i="28"/>
  <c r="L85" i="28" s="1"/>
  <c r="Z81" i="28"/>
  <c r="X81" i="28"/>
  <c r="N81" i="28"/>
  <c r="L81" i="28"/>
  <c r="B81" i="28"/>
  <c r="Z80" i="28"/>
  <c r="X80" i="28"/>
  <c r="N80" i="28"/>
  <c r="L80" i="28"/>
  <c r="B80" i="28"/>
  <c r="X79" i="28"/>
  <c r="Z79" i="28" s="1"/>
  <c r="N79" i="28"/>
  <c r="L79" i="28"/>
  <c r="B79" i="28"/>
  <c r="Z78" i="28"/>
  <c r="X78" i="28"/>
  <c r="L78" i="28"/>
  <c r="N78" i="28" s="1"/>
  <c r="B78" i="28"/>
  <c r="Z77" i="28"/>
  <c r="X77" i="28"/>
  <c r="N77" i="28"/>
  <c r="L77" i="28"/>
  <c r="B77" i="28"/>
  <c r="X76" i="28"/>
  <c r="Z76" i="28" s="1"/>
  <c r="N76" i="28"/>
  <c r="L76" i="28"/>
  <c r="B76" i="28"/>
  <c r="Z75" i="28"/>
  <c r="X75" i="28"/>
  <c r="L75" i="28"/>
  <c r="N75" i="28" s="1"/>
  <c r="B75" i="28"/>
  <c r="X74" i="28"/>
  <c r="Z74" i="28" s="1"/>
  <c r="N74" i="28"/>
  <c r="L74" i="28"/>
  <c r="B74" i="28"/>
  <c r="Z73" i="28"/>
  <c r="X73" i="28"/>
  <c r="N73" i="28"/>
  <c r="L73" i="28"/>
  <c r="B73" i="28"/>
  <c r="Z72" i="28"/>
  <c r="X72" i="28"/>
  <c r="N72" i="28"/>
  <c r="L72" i="28"/>
  <c r="B72" i="28"/>
  <c r="Z71" i="28"/>
  <c r="X71" i="28"/>
  <c r="N71" i="28"/>
  <c r="L71" i="28"/>
  <c r="B71" i="28"/>
  <c r="Z70" i="28"/>
  <c r="X70" i="28"/>
  <c r="L70" i="28"/>
  <c r="N70" i="28" s="1"/>
  <c r="B70" i="28"/>
  <c r="Z69" i="28"/>
  <c r="X69" i="28"/>
  <c r="N69" i="28"/>
  <c r="L69" i="28"/>
  <c r="B69" i="28"/>
  <c r="X68" i="28"/>
  <c r="Z68" i="28" s="1"/>
  <c r="N68" i="28"/>
  <c r="L68" i="28"/>
  <c r="B68" i="28"/>
  <c r="Z67" i="28"/>
  <c r="X67" i="28"/>
  <c r="L67" i="28"/>
  <c r="N67" i="28" s="1"/>
  <c r="B67" i="28"/>
  <c r="X66" i="28"/>
  <c r="Z66" i="28" s="1"/>
  <c r="N66" i="28"/>
  <c r="L66" i="28"/>
  <c r="B66" i="28"/>
  <c r="Z65" i="28"/>
  <c r="X65" i="28"/>
  <c r="N65" i="28"/>
  <c r="L65" i="28"/>
  <c r="B65" i="28"/>
  <c r="Z64" i="28"/>
  <c r="X64" i="28"/>
  <c r="L64" i="28"/>
  <c r="N64" i="28" s="1"/>
  <c r="B64" i="28"/>
  <c r="X63" i="28"/>
  <c r="Z63" i="28" s="1"/>
  <c r="N63" i="28"/>
  <c r="L63" i="28"/>
  <c r="B63" i="28"/>
  <c r="Z62" i="28"/>
  <c r="X62" i="28"/>
  <c r="L62" i="28"/>
  <c r="N62" i="28" s="1"/>
  <c r="B62" i="28"/>
  <c r="Z61" i="28"/>
  <c r="X61" i="28"/>
  <c r="N61" i="28"/>
  <c r="L61" i="28"/>
  <c r="B61" i="28"/>
  <c r="X60" i="28"/>
  <c r="Z60" i="28" s="1"/>
  <c r="N60" i="28"/>
  <c r="L60" i="28"/>
  <c r="B60" i="28"/>
  <c r="Z59" i="28"/>
  <c r="X59" i="28"/>
  <c r="N59" i="28"/>
  <c r="L59" i="28"/>
  <c r="B59" i="28"/>
  <c r="X58" i="28"/>
  <c r="Z58" i="28" s="1"/>
  <c r="N58" i="28"/>
  <c r="L58" i="28"/>
  <c r="B58" i="28"/>
  <c r="Z57" i="28"/>
  <c r="X57" i="28"/>
  <c r="N57" i="28"/>
  <c r="L57" i="28"/>
  <c r="B57" i="28"/>
  <c r="T56" i="28"/>
  <c r="P56" i="28"/>
  <c r="X56" i="28" s="1"/>
  <c r="Z56" i="28" s="1"/>
  <c r="L56" i="28"/>
  <c r="H56" i="28"/>
  <c r="N56" i="28" s="1"/>
  <c r="D56" i="28"/>
  <c r="Z54" i="28"/>
  <c r="T54" i="28"/>
  <c r="P54" i="28"/>
  <c r="X54" i="28" s="1"/>
  <c r="H54" i="28"/>
  <c r="N54" i="28" s="1"/>
  <c r="D54" i="28"/>
  <c r="B54" i="28"/>
  <c r="T53" i="28"/>
  <c r="P53" i="28"/>
  <c r="X53" i="28" s="1"/>
  <c r="L53" i="28"/>
  <c r="H53" i="28"/>
  <c r="N53" i="28" s="1"/>
  <c r="D53" i="28"/>
  <c r="B53" i="28"/>
  <c r="X52" i="28"/>
  <c r="T52" i="28"/>
  <c r="Z52" i="28" s="1"/>
  <c r="P52" i="28"/>
  <c r="N52" i="28"/>
  <c r="L52" i="28"/>
  <c r="H52" i="28"/>
  <c r="D52" i="28"/>
  <c r="B52" i="28"/>
  <c r="T51" i="28"/>
  <c r="P51" i="28"/>
  <c r="X51" i="28" s="1"/>
  <c r="Z51" i="28" s="1"/>
  <c r="H51" i="28"/>
  <c r="L51" i="28" s="1"/>
  <c r="N51" i="28" s="1"/>
  <c r="D51" i="28"/>
  <c r="B51" i="28"/>
  <c r="T50" i="28"/>
  <c r="Z50" i="28" s="1"/>
  <c r="P50" i="28"/>
  <c r="N50" i="28"/>
  <c r="H50" i="28"/>
  <c r="D50" i="28"/>
  <c r="L50" i="28" s="1"/>
  <c r="B50" i="28"/>
  <c r="X49" i="28"/>
  <c r="T49" i="28"/>
  <c r="Z49" i="28" s="1"/>
  <c r="P49" i="28"/>
  <c r="H49" i="28"/>
  <c r="N49" i="28" s="1"/>
  <c r="D49" i="28"/>
  <c r="B49" i="28"/>
  <c r="Z48" i="28"/>
  <c r="X48" i="28"/>
  <c r="T48" i="28"/>
  <c r="P48" i="28"/>
  <c r="L48" i="28"/>
  <c r="H48" i="28"/>
  <c r="D48" i="28"/>
  <c r="B48" i="28"/>
  <c r="T47" i="28"/>
  <c r="X47" i="28" s="1"/>
  <c r="Z47" i="28" s="1"/>
  <c r="P47" i="28"/>
  <c r="H47" i="28"/>
  <c r="D47" i="28"/>
  <c r="L47" i="28" s="1"/>
  <c r="N47" i="28" s="1"/>
  <c r="B47" i="28"/>
  <c r="T46" i="28"/>
  <c r="P46" i="28"/>
  <c r="X46" i="28" s="1"/>
  <c r="Z46" i="28" s="1"/>
  <c r="H46" i="28"/>
  <c r="D46" i="28"/>
  <c r="L46" i="28" s="1"/>
  <c r="B46" i="28"/>
  <c r="T45" i="28"/>
  <c r="P45" i="28"/>
  <c r="X45" i="28" s="1"/>
  <c r="L45" i="28"/>
  <c r="H45" i="28"/>
  <c r="D45" i="28"/>
  <c r="B45" i="28"/>
  <c r="X44" i="28"/>
  <c r="T44" i="28"/>
  <c r="P44" i="28"/>
  <c r="N44" i="28"/>
  <c r="L44" i="28"/>
  <c r="H44" i="28"/>
  <c r="D44" i="28"/>
  <c r="B44" i="28"/>
  <c r="Z43" i="28"/>
  <c r="T43" i="28"/>
  <c r="P43" i="28"/>
  <c r="X43" i="28" s="1"/>
  <c r="H43" i="28"/>
  <c r="L43" i="28" s="1"/>
  <c r="N43" i="28" s="1"/>
  <c r="D43" i="28"/>
  <c r="B43" i="28"/>
  <c r="T42" i="28"/>
  <c r="P42" i="28"/>
  <c r="H42" i="28"/>
  <c r="D42" i="28"/>
  <c r="L42" i="28" s="1"/>
  <c r="N42" i="28" s="1"/>
  <c r="B42" i="28"/>
  <c r="X41" i="28"/>
  <c r="T41" i="28"/>
  <c r="P41" i="28"/>
  <c r="H41" i="28"/>
  <c r="N41" i="28" s="1"/>
  <c r="D41" i="28"/>
  <c r="B41" i="28"/>
  <c r="Z40" i="28"/>
  <c r="X40" i="28"/>
  <c r="T40" i="28"/>
  <c r="P40" i="28"/>
  <c r="L40" i="28"/>
  <c r="H40" i="28"/>
  <c r="N40" i="28" s="1"/>
  <c r="D40" i="28"/>
  <c r="B40" i="28"/>
  <c r="T39" i="28"/>
  <c r="X39" i="28" s="1"/>
  <c r="Z39" i="28" s="1"/>
  <c r="P39" i="28"/>
  <c r="N39" i="28"/>
  <c r="H39" i="28"/>
  <c r="D39" i="28"/>
  <c r="L39" i="28" s="1"/>
  <c r="B39" i="28"/>
  <c r="T38" i="28"/>
  <c r="P38" i="28"/>
  <c r="X38" i="28" s="1"/>
  <c r="Z38" i="28" s="1"/>
  <c r="H38" i="28"/>
  <c r="D38" i="28"/>
  <c r="L38" i="28" s="1"/>
  <c r="B38" i="28"/>
  <c r="T37" i="28"/>
  <c r="P37" i="28"/>
  <c r="L37" i="28"/>
  <c r="H37" i="28"/>
  <c r="D37" i="28"/>
  <c r="B37" i="28"/>
  <c r="X36" i="28"/>
  <c r="T36" i="28"/>
  <c r="Z36" i="28" s="1"/>
  <c r="P36" i="28"/>
  <c r="N36" i="28"/>
  <c r="L36" i="28"/>
  <c r="H36" i="28"/>
  <c r="D36" i="28"/>
  <c r="B36" i="28"/>
  <c r="T35" i="28"/>
  <c r="P35" i="28"/>
  <c r="X35" i="28" s="1"/>
  <c r="Z35" i="28" s="1"/>
  <c r="H35" i="28"/>
  <c r="L35" i="28" s="1"/>
  <c r="N35" i="28" s="1"/>
  <c r="D35" i="28"/>
  <c r="B35" i="28"/>
  <c r="T34" i="28"/>
  <c r="P34" i="28"/>
  <c r="H34" i="28"/>
  <c r="D34" i="28"/>
  <c r="L34" i="28" s="1"/>
  <c r="N34" i="28" s="1"/>
  <c r="B34" i="28"/>
  <c r="X33" i="28"/>
  <c r="T33" i="28"/>
  <c r="Z33" i="28" s="1"/>
  <c r="P33" i="28"/>
  <c r="H33" i="28"/>
  <c r="N33" i="28" s="1"/>
  <c r="D33" i="28"/>
  <c r="B33" i="28"/>
  <c r="Z32" i="28"/>
  <c r="X32" i="28"/>
  <c r="T32" i="28"/>
  <c r="P32" i="28"/>
  <c r="L32" i="28"/>
  <c r="H32" i="28"/>
  <c r="N32" i="28" s="1"/>
  <c r="D32" i="28"/>
  <c r="B32" i="28"/>
  <c r="T31" i="28"/>
  <c r="X31" i="28" s="1"/>
  <c r="Z31" i="28" s="1"/>
  <c r="P31" i="28"/>
  <c r="N31" i="28"/>
  <c r="H31" i="28"/>
  <c r="D31" i="28"/>
  <c r="L31" i="28" s="1"/>
  <c r="B31" i="28"/>
  <c r="T30" i="28"/>
  <c r="P30" i="28"/>
  <c r="X30" i="28" s="1"/>
  <c r="Z30" i="28" s="1"/>
  <c r="H30" i="28"/>
  <c r="N30" i="28" s="1"/>
  <c r="D30" i="28"/>
  <c r="B30" i="28"/>
  <c r="T29" i="28"/>
  <c r="P29" i="28"/>
  <c r="X29" i="28" s="1"/>
  <c r="L29" i="28"/>
  <c r="H29" i="28"/>
  <c r="D29" i="28"/>
  <c r="B29" i="28"/>
  <c r="X28" i="28"/>
  <c r="T28" i="28"/>
  <c r="P28" i="28"/>
  <c r="N28" i="28"/>
  <c r="L28" i="28"/>
  <c r="H28" i="28"/>
  <c r="D28" i="28"/>
  <c r="B28" i="28"/>
  <c r="Z27" i="28"/>
  <c r="T27" i="28"/>
  <c r="P27" i="28"/>
  <c r="X27" i="28" s="1"/>
  <c r="H27" i="28"/>
  <c r="L27" i="28" s="1"/>
  <c r="N27" i="28" s="1"/>
  <c r="D27" i="28"/>
  <c r="B27" i="28"/>
  <c r="T26" i="28"/>
  <c r="P26" i="28"/>
  <c r="X26" i="28" s="1"/>
  <c r="N26" i="28"/>
  <c r="H26" i="28"/>
  <c r="D26" i="28"/>
  <c r="L26" i="28" s="1"/>
  <c r="B26" i="28"/>
  <c r="X25" i="28"/>
  <c r="T25" i="28"/>
  <c r="Z25" i="28" s="1"/>
  <c r="P25" i="28"/>
  <c r="H25" i="28"/>
  <c r="N25" i="28" s="1"/>
  <c r="D25" i="28"/>
  <c r="B25" i="28"/>
  <c r="Z24" i="28"/>
  <c r="X24" i="28"/>
  <c r="T24" i="28"/>
  <c r="P24" i="28"/>
  <c r="L24" i="28"/>
  <c r="H24" i="28"/>
  <c r="N24" i="28" s="1"/>
  <c r="D24" i="28"/>
  <c r="B24" i="28"/>
  <c r="T23" i="28"/>
  <c r="X23" i="28" s="1"/>
  <c r="Z23" i="28" s="1"/>
  <c r="P23" i="28"/>
  <c r="N23" i="28"/>
  <c r="H23" i="28"/>
  <c r="D23" i="28"/>
  <c r="L23" i="28" s="1"/>
  <c r="B23" i="28"/>
  <c r="T22" i="28"/>
  <c r="P22" i="28"/>
  <c r="X22" i="28" s="1"/>
  <c r="Z22" i="28" s="1"/>
  <c r="H22" i="28"/>
  <c r="D22" i="28"/>
  <c r="B22" i="28"/>
  <c r="T21" i="28"/>
  <c r="P21" i="28"/>
  <c r="X21" i="28" s="1"/>
  <c r="L21" i="28"/>
  <c r="H21" i="28"/>
  <c r="D21" i="28"/>
  <c r="B21" i="28"/>
  <c r="X20" i="28"/>
  <c r="T20" i="28"/>
  <c r="Z20" i="28" s="1"/>
  <c r="P20" i="28"/>
  <c r="N20" i="28"/>
  <c r="L20" i="28"/>
  <c r="H20" i="28"/>
  <c r="D20" i="28"/>
  <c r="B20" i="28"/>
  <c r="Z19" i="28"/>
  <c r="T19" i="28"/>
  <c r="P19" i="28"/>
  <c r="X19" i="28" s="1"/>
  <c r="H19" i="28"/>
  <c r="D19" i="28"/>
  <c r="L19" i="28" s="1"/>
  <c r="N19" i="28" s="1"/>
  <c r="B19" i="28"/>
  <c r="T18" i="28"/>
  <c r="P18" i="28"/>
  <c r="X18" i="28" s="1"/>
  <c r="H18" i="28"/>
  <c r="N18" i="28" s="1"/>
  <c r="D18" i="28"/>
  <c r="L18" i="28" s="1"/>
  <c r="B18" i="28"/>
  <c r="X17" i="28"/>
  <c r="T17" i="28"/>
  <c r="Z17" i="28" s="1"/>
  <c r="P17" i="28"/>
  <c r="H17" i="28"/>
  <c r="D17" i="28"/>
  <c r="L17" i="28" s="1"/>
  <c r="B17" i="28"/>
  <c r="Z16" i="28"/>
  <c r="X16" i="28"/>
  <c r="T16" i="28"/>
  <c r="P16" i="28"/>
  <c r="L16" i="28"/>
  <c r="H16" i="28"/>
  <c r="D16" i="28"/>
  <c r="B16" i="28"/>
  <c r="T15" i="28"/>
  <c r="P15" i="28"/>
  <c r="X15" i="28" s="1"/>
  <c r="Z15" i="28" s="1"/>
  <c r="H15" i="28"/>
  <c r="D15" i="28"/>
  <c r="L15" i="28" s="1"/>
  <c r="N15" i="28" s="1"/>
  <c r="B15" i="28"/>
  <c r="T14" i="28"/>
  <c r="P14" i="28"/>
  <c r="X14" i="28" s="1"/>
  <c r="H14" i="28"/>
  <c r="D14" i="28"/>
  <c r="B14" i="28"/>
  <c r="T13" i="28"/>
  <c r="P13" i="28"/>
  <c r="L13" i="28"/>
  <c r="H13" i="28"/>
  <c r="N13" i="28" s="1"/>
  <c r="D13" i="28"/>
  <c r="B13" i="28"/>
  <c r="D4" i="28"/>
  <c r="B39" i="27"/>
  <c r="B38" i="27"/>
  <c r="T34" i="27"/>
  <c r="Z34" i="27" s="1"/>
  <c r="P34" i="27"/>
  <c r="H34" i="27"/>
  <c r="N34" i="27" s="1"/>
  <c r="D34" i="27"/>
  <c r="T33" i="27"/>
  <c r="Z33" i="27" s="1"/>
  <c r="P33" i="27"/>
  <c r="H33" i="27"/>
  <c r="D33" i="27"/>
  <c r="T29" i="27"/>
  <c r="Z29" i="27" s="1"/>
  <c r="P29" i="27"/>
  <c r="H29" i="27"/>
  <c r="D29" i="27"/>
  <c r="T25" i="27"/>
  <c r="Z25" i="27" s="1"/>
  <c r="P25" i="27"/>
  <c r="H25" i="27"/>
  <c r="D25" i="27"/>
  <c r="B25" i="27"/>
  <c r="T24" i="27"/>
  <c r="Z24" i="27" s="1"/>
  <c r="P24" i="27"/>
  <c r="H24" i="27"/>
  <c r="D24" i="27"/>
  <c r="T22" i="27"/>
  <c r="Z22" i="27" s="1"/>
  <c r="P22" i="27"/>
  <c r="H22" i="27"/>
  <c r="N22" i="27" s="1"/>
  <c r="D22" i="27"/>
  <c r="B22" i="27"/>
  <c r="T21" i="27"/>
  <c r="P21" i="27"/>
  <c r="H21" i="27"/>
  <c r="N21" i="27" s="1"/>
  <c r="D21" i="27"/>
  <c r="B21" i="27"/>
  <c r="T20" i="27"/>
  <c r="P20" i="27"/>
  <c r="H20" i="27"/>
  <c r="N20" i="27" s="1"/>
  <c r="D20" i="27"/>
  <c r="T16" i="27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V20" i="27" s="1"/>
  <c r="P12" i="27"/>
  <c r="R36" i="27" s="1"/>
  <c r="H12" i="27"/>
  <c r="J34" i="27" s="1"/>
  <c r="D12" i="27"/>
  <c r="D5" i="27"/>
  <c r="D4" i="27"/>
  <c r="B39" i="26"/>
  <c r="B38" i="26"/>
  <c r="T34" i="26"/>
  <c r="Z34" i="26" s="1"/>
  <c r="P34" i="26"/>
  <c r="H34" i="26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2" i="26" s="1"/>
  <c r="P12" i="26"/>
  <c r="R27" i="26" s="1"/>
  <c r="H12" i="26"/>
  <c r="J20" i="26" s="1"/>
  <c r="D12" i="26"/>
  <c r="D5" i="26"/>
  <c r="D4" i="26"/>
  <c r="X117" i="25"/>
  <c r="Z117" i="25" s="1"/>
  <c r="N117" i="25"/>
  <c r="L117" i="25"/>
  <c r="T113" i="25"/>
  <c r="P113" i="25"/>
  <c r="H113" i="25"/>
  <c r="D113" i="25"/>
  <c r="L113" i="25" s="1"/>
  <c r="N113" i="25" s="1"/>
  <c r="B113" i="25"/>
  <c r="T112" i="25"/>
  <c r="P112" i="25"/>
  <c r="H112" i="25"/>
  <c r="D112" i="25"/>
  <c r="L112" i="25" s="1"/>
  <c r="N112" i="25" s="1"/>
  <c r="B112" i="25"/>
  <c r="T111" i="25"/>
  <c r="P111" i="25"/>
  <c r="H111" i="25"/>
  <c r="D111" i="25"/>
  <c r="B111" i="25"/>
  <c r="Z108" i="25"/>
  <c r="X108" i="25"/>
  <c r="N108" i="25"/>
  <c r="L108" i="25"/>
  <c r="B108" i="25"/>
  <c r="X107" i="25"/>
  <c r="Z107" i="25" s="1"/>
  <c r="T107" i="25"/>
  <c r="P107" i="25"/>
  <c r="N107" i="25"/>
  <c r="H107" i="25"/>
  <c r="L107" i="25" s="1"/>
  <c r="D107" i="25"/>
  <c r="B107" i="25"/>
  <c r="X106" i="25"/>
  <c r="Z106" i="25" s="1"/>
  <c r="N106" i="25"/>
  <c r="L106" i="25"/>
  <c r="B106" i="25"/>
  <c r="X105" i="25"/>
  <c r="Z105" i="25" s="1"/>
  <c r="N105" i="25"/>
  <c r="L105" i="25"/>
  <c r="B105" i="25"/>
  <c r="Z104" i="25"/>
  <c r="T104" i="25"/>
  <c r="P104" i="25"/>
  <c r="X104" i="25" s="1"/>
  <c r="L104" i="25"/>
  <c r="H104" i="25"/>
  <c r="D104" i="25"/>
  <c r="B104" i="25"/>
  <c r="Z103" i="25"/>
  <c r="X103" i="25"/>
  <c r="L103" i="25"/>
  <c r="N103" i="25" s="1"/>
  <c r="B103" i="25"/>
  <c r="X102" i="25"/>
  <c r="Z102" i="25" s="1"/>
  <c r="N102" i="25"/>
  <c r="L102" i="25"/>
  <c r="B102" i="25"/>
  <c r="T101" i="25"/>
  <c r="P101" i="25"/>
  <c r="H101" i="25"/>
  <c r="D101" i="25"/>
  <c r="L101" i="25" s="1"/>
  <c r="B101" i="25"/>
  <c r="X100" i="25"/>
  <c r="Z100" i="25" s="1"/>
  <c r="N100" i="25"/>
  <c r="L100" i="25"/>
  <c r="B100" i="25"/>
  <c r="Z99" i="25"/>
  <c r="X99" i="25"/>
  <c r="L99" i="25"/>
  <c r="N99" i="25" s="1"/>
  <c r="B99" i="25"/>
  <c r="X98" i="25"/>
  <c r="T98" i="25"/>
  <c r="Z98" i="25" s="1"/>
  <c r="P98" i="25"/>
  <c r="H98" i="25"/>
  <c r="D98" i="25"/>
  <c r="B98" i="25"/>
  <c r="Z97" i="25"/>
  <c r="X97" i="25"/>
  <c r="N97" i="25"/>
  <c r="L97" i="25"/>
  <c r="B97" i="25"/>
  <c r="X96" i="25"/>
  <c r="Z96" i="25" s="1"/>
  <c r="N96" i="25"/>
  <c r="L96" i="25"/>
  <c r="B96" i="25"/>
  <c r="Z95" i="25"/>
  <c r="X95" i="25"/>
  <c r="N95" i="25"/>
  <c r="L95" i="25"/>
  <c r="B95" i="25"/>
  <c r="X94" i="25"/>
  <c r="T94" i="25"/>
  <c r="Z94" i="25" s="1"/>
  <c r="P94" i="25"/>
  <c r="H94" i="25"/>
  <c r="D94" i="25"/>
  <c r="B94" i="25"/>
  <c r="Z93" i="25"/>
  <c r="X93" i="25"/>
  <c r="N93" i="25"/>
  <c r="L93" i="25"/>
  <c r="B93" i="25"/>
  <c r="T92" i="25"/>
  <c r="P92" i="25"/>
  <c r="N92" i="25"/>
  <c r="H92" i="25"/>
  <c r="D92" i="25"/>
  <c r="L92" i="25" s="1"/>
  <c r="B92" i="25"/>
  <c r="X91" i="25"/>
  <c r="Z91" i="25" s="1"/>
  <c r="N91" i="25"/>
  <c r="L91" i="25"/>
  <c r="B91" i="25"/>
  <c r="T90" i="25"/>
  <c r="P90" i="25"/>
  <c r="X90" i="25" s="1"/>
  <c r="Z90" i="25" s="1"/>
  <c r="N90" i="25"/>
  <c r="H90" i="25"/>
  <c r="D90" i="25"/>
  <c r="L90" i="25" s="1"/>
  <c r="B90" i="25"/>
  <c r="X89" i="25"/>
  <c r="Z89" i="25" s="1"/>
  <c r="N89" i="25"/>
  <c r="L89" i="25"/>
  <c r="B89" i="25"/>
  <c r="Z88" i="25"/>
  <c r="X88" i="25"/>
  <c r="L88" i="25"/>
  <c r="N88" i="25" s="1"/>
  <c r="B88" i="25"/>
  <c r="X87" i="25"/>
  <c r="Z87" i="25" s="1"/>
  <c r="T87" i="25"/>
  <c r="P87" i="25"/>
  <c r="H87" i="25"/>
  <c r="L87" i="25" s="1"/>
  <c r="N87" i="25" s="1"/>
  <c r="D87" i="25"/>
  <c r="B87" i="25"/>
  <c r="X86" i="25"/>
  <c r="Z86" i="25" s="1"/>
  <c r="N86" i="25"/>
  <c r="L86" i="25"/>
  <c r="B86" i="25"/>
  <c r="T85" i="25"/>
  <c r="P85" i="25"/>
  <c r="H85" i="25"/>
  <c r="D85" i="25"/>
  <c r="B85" i="25"/>
  <c r="X84" i="25"/>
  <c r="Z84" i="25" s="1"/>
  <c r="N84" i="25"/>
  <c r="L84" i="25"/>
  <c r="B84" i="25"/>
  <c r="T83" i="25"/>
  <c r="P83" i="25"/>
  <c r="X83" i="25" s="1"/>
  <c r="N83" i="25"/>
  <c r="H83" i="25"/>
  <c r="D83" i="25"/>
  <c r="L83" i="25" s="1"/>
  <c r="B83" i="25"/>
  <c r="Z82" i="25"/>
  <c r="X82" i="25"/>
  <c r="L82" i="25"/>
  <c r="N82" i="25" s="1"/>
  <c r="B82" i="25"/>
  <c r="Z81" i="25"/>
  <c r="X81" i="25"/>
  <c r="N81" i="25"/>
  <c r="L81" i="25"/>
  <c r="B81" i="25"/>
  <c r="T80" i="25"/>
  <c r="P80" i="25"/>
  <c r="H80" i="25"/>
  <c r="D80" i="25"/>
  <c r="L80" i="25" s="1"/>
  <c r="N80" i="25" s="1"/>
  <c r="B80" i="25"/>
  <c r="X79" i="25"/>
  <c r="Z79" i="25" s="1"/>
  <c r="N79" i="25"/>
  <c r="L79" i="25"/>
  <c r="B79" i="25"/>
  <c r="Z78" i="25"/>
  <c r="T78" i="25"/>
  <c r="P78" i="25"/>
  <c r="X78" i="25" s="1"/>
  <c r="H78" i="25"/>
  <c r="D78" i="25"/>
  <c r="L78" i="25" s="1"/>
  <c r="N78" i="25" s="1"/>
  <c r="B78" i="25"/>
  <c r="Z77" i="25"/>
  <c r="X77" i="25"/>
  <c r="N77" i="25"/>
  <c r="L77" i="25"/>
  <c r="B77" i="25"/>
  <c r="Z76" i="25"/>
  <c r="X76" i="25"/>
  <c r="L76" i="25"/>
  <c r="N76" i="25" s="1"/>
  <c r="B76" i="25"/>
  <c r="X75" i="25"/>
  <c r="Z75" i="25" s="1"/>
  <c r="N75" i="25"/>
  <c r="L75" i="25"/>
  <c r="B75" i="25"/>
  <c r="Z74" i="25"/>
  <c r="X74" i="25"/>
  <c r="N74" i="25"/>
  <c r="L74" i="25"/>
  <c r="B74" i="25"/>
  <c r="Z73" i="25"/>
  <c r="X73" i="25"/>
  <c r="N73" i="25"/>
  <c r="L73" i="25"/>
  <c r="B73" i="25"/>
  <c r="X72" i="25"/>
  <c r="Z72" i="25" s="1"/>
  <c r="N72" i="25"/>
  <c r="L72" i="25"/>
  <c r="B72" i="25"/>
  <c r="Z71" i="25"/>
  <c r="X71" i="25"/>
  <c r="N71" i="25"/>
  <c r="L71" i="25"/>
  <c r="B71" i="25"/>
  <c r="X70" i="25"/>
  <c r="T70" i="25"/>
  <c r="P70" i="25"/>
  <c r="H70" i="25"/>
  <c r="D70" i="25"/>
  <c r="B70" i="25"/>
  <c r="Z69" i="25"/>
  <c r="X69" i="25"/>
  <c r="L69" i="25"/>
  <c r="N69" i="25" s="1"/>
  <c r="B69" i="25"/>
  <c r="X68" i="25"/>
  <c r="Z68" i="25" s="1"/>
  <c r="N68" i="25"/>
  <c r="L68" i="25"/>
  <c r="B68" i="25"/>
  <c r="Z67" i="25"/>
  <c r="X67" i="25"/>
  <c r="L67" i="25"/>
  <c r="N67" i="25" s="1"/>
  <c r="B67" i="25"/>
  <c r="X66" i="25"/>
  <c r="Z66" i="25" s="1"/>
  <c r="N66" i="25"/>
  <c r="L66" i="25"/>
  <c r="B66" i="25"/>
  <c r="X65" i="25"/>
  <c r="Z65" i="25" s="1"/>
  <c r="N65" i="25"/>
  <c r="L65" i="25"/>
  <c r="B65" i="25"/>
  <c r="Z64" i="25"/>
  <c r="X64" i="25"/>
  <c r="L64" i="25"/>
  <c r="N64" i="25" s="1"/>
  <c r="B64" i="25"/>
  <c r="X63" i="25"/>
  <c r="Z63" i="25" s="1"/>
  <c r="N63" i="25"/>
  <c r="L63" i="25"/>
  <c r="B63" i="25"/>
  <c r="Z62" i="25"/>
  <c r="X62" i="25"/>
  <c r="L62" i="25"/>
  <c r="N62" i="25" s="1"/>
  <c r="B62" i="25"/>
  <c r="Z61" i="25"/>
  <c r="X61" i="25"/>
  <c r="N61" i="25"/>
  <c r="L61" i="25"/>
  <c r="B61" i="25"/>
  <c r="T60" i="25"/>
  <c r="P60" i="25"/>
  <c r="N60" i="25"/>
  <c r="H60" i="25"/>
  <c r="D60" i="25"/>
  <c r="L60" i="25" s="1"/>
  <c r="B60" i="25"/>
  <c r="X59" i="25"/>
  <c r="T59" i="25"/>
  <c r="P59" i="25"/>
  <c r="H59" i="25"/>
  <c r="D59" i="25"/>
  <c r="Z55" i="25"/>
  <c r="X55" i="25"/>
  <c r="N55" i="25"/>
  <c r="L55" i="25"/>
  <c r="B55" i="25"/>
  <c r="Z54" i="25"/>
  <c r="X54" i="25"/>
  <c r="L54" i="25"/>
  <c r="N54" i="25" s="1"/>
  <c r="B54" i="25"/>
  <c r="Z53" i="25"/>
  <c r="X53" i="25"/>
  <c r="N53" i="25"/>
  <c r="L53" i="25"/>
  <c r="B53" i="25"/>
  <c r="X52" i="25"/>
  <c r="Z52" i="25" s="1"/>
  <c r="N52" i="25"/>
  <c r="L52" i="25"/>
  <c r="B52" i="25"/>
  <c r="Z51" i="25"/>
  <c r="X51" i="25"/>
  <c r="L51" i="25"/>
  <c r="N51" i="25" s="1"/>
  <c r="B51" i="25"/>
  <c r="Z50" i="25"/>
  <c r="X50" i="25"/>
  <c r="N50" i="25"/>
  <c r="L50" i="25"/>
  <c r="B50" i="25"/>
  <c r="Z49" i="25"/>
  <c r="X49" i="25"/>
  <c r="N49" i="25"/>
  <c r="L49" i="25"/>
  <c r="B49" i="25"/>
  <c r="Z48" i="25"/>
  <c r="X48" i="25"/>
  <c r="L48" i="25"/>
  <c r="N48" i="25" s="1"/>
  <c r="B48" i="25"/>
  <c r="X47" i="25"/>
  <c r="Z47" i="25" s="1"/>
  <c r="N47" i="25"/>
  <c r="L47" i="25"/>
  <c r="B47" i="25"/>
  <c r="Z46" i="25"/>
  <c r="X46" i="25"/>
  <c r="N46" i="25"/>
  <c r="L46" i="25"/>
  <c r="B46" i="25"/>
  <c r="Z45" i="25"/>
  <c r="X45" i="25"/>
  <c r="L45" i="25"/>
  <c r="N45" i="25" s="1"/>
  <c r="B45" i="25"/>
  <c r="X44" i="25"/>
  <c r="Z44" i="25" s="1"/>
  <c r="N44" i="25"/>
  <c r="L44" i="25"/>
  <c r="B44" i="25"/>
  <c r="Z43" i="25"/>
  <c r="X43" i="25"/>
  <c r="L43" i="25"/>
  <c r="N43" i="25" s="1"/>
  <c r="B43" i="25"/>
  <c r="X42" i="25"/>
  <c r="Z42" i="25" s="1"/>
  <c r="N42" i="25"/>
  <c r="L42" i="25"/>
  <c r="B42" i="25"/>
  <c r="X41" i="25"/>
  <c r="Z41" i="25" s="1"/>
  <c r="N41" i="25"/>
  <c r="L41" i="25"/>
  <c r="B41" i="25"/>
  <c r="Z40" i="25"/>
  <c r="X40" i="25"/>
  <c r="L40" i="25"/>
  <c r="N40" i="25" s="1"/>
  <c r="B40" i="25"/>
  <c r="Z39" i="25"/>
  <c r="X39" i="25"/>
  <c r="N39" i="25"/>
  <c r="L39" i="25"/>
  <c r="B39" i="25"/>
  <c r="T38" i="25"/>
  <c r="P38" i="25"/>
  <c r="X38" i="25" s="1"/>
  <c r="Z38" i="25" s="1"/>
  <c r="N38" i="25"/>
  <c r="H38" i="25"/>
  <c r="D38" i="25"/>
  <c r="L38" i="25" s="1"/>
  <c r="X36" i="25"/>
  <c r="T36" i="25"/>
  <c r="Z36" i="25" s="1"/>
  <c r="P36" i="25"/>
  <c r="N36" i="25"/>
  <c r="L36" i="25"/>
  <c r="H36" i="25"/>
  <c r="D36" i="25"/>
  <c r="B36" i="25"/>
  <c r="T35" i="25"/>
  <c r="P35" i="25"/>
  <c r="X35" i="25" s="1"/>
  <c r="Z35" i="25" s="1"/>
  <c r="H35" i="25"/>
  <c r="L35" i="25" s="1"/>
  <c r="N35" i="25" s="1"/>
  <c r="D35" i="25"/>
  <c r="B35" i="25"/>
  <c r="T34" i="25"/>
  <c r="P34" i="25"/>
  <c r="H34" i="25"/>
  <c r="D34" i="25"/>
  <c r="L34" i="25" s="1"/>
  <c r="N34" i="25" s="1"/>
  <c r="B34" i="25"/>
  <c r="X33" i="25"/>
  <c r="T33" i="25"/>
  <c r="Z33" i="25" s="1"/>
  <c r="P33" i="25"/>
  <c r="H33" i="25"/>
  <c r="D33" i="25"/>
  <c r="B33" i="25"/>
  <c r="Z32" i="25"/>
  <c r="X32" i="25"/>
  <c r="T32" i="25"/>
  <c r="P32" i="25"/>
  <c r="L32" i="25"/>
  <c r="H32" i="25"/>
  <c r="N32" i="25" s="1"/>
  <c r="D32" i="25"/>
  <c r="B32" i="25"/>
  <c r="T31" i="25"/>
  <c r="X31" i="25" s="1"/>
  <c r="Z31" i="25" s="1"/>
  <c r="P31" i="25"/>
  <c r="N31" i="25"/>
  <c r="H31" i="25"/>
  <c r="D31" i="25"/>
  <c r="L31" i="25" s="1"/>
  <c r="B31" i="25"/>
  <c r="T30" i="25"/>
  <c r="P30" i="25"/>
  <c r="X30" i="25" s="1"/>
  <c r="Z30" i="25" s="1"/>
  <c r="N30" i="25"/>
  <c r="H30" i="25"/>
  <c r="D30" i="25"/>
  <c r="L30" i="25" s="1"/>
  <c r="B30" i="25"/>
  <c r="T29" i="25"/>
  <c r="P29" i="25"/>
  <c r="L29" i="25"/>
  <c r="H29" i="25"/>
  <c r="N29" i="25" s="1"/>
  <c r="D29" i="25"/>
  <c r="B29" i="25"/>
  <c r="T28" i="25"/>
  <c r="Z28" i="25" s="1"/>
  <c r="P28" i="25"/>
  <c r="N28" i="25"/>
  <c r="L28" i="25"/>
  <c r="H28" i="25"/>
  <c r="D28" i="25"/>
  <c r="B28" i="25"/>
  <c r="X27" i="25"/>
  <c r="Z27" i="25" s="1"/>
  <c r="T27" i="25"/>
  <c r="P27" i="25"/>
  <c r="H27" i="25"/>
  <c r="L27" i="25" s="1"/>
  <c r="N27" i="25" s="1"/>
  <c r="D27" i="25"/>
  <c r="B27" i="25"/>
  <c r="T26" i="25"/>
  <c r="Z26" i="25" s="1"/>
  <c r="P26" i="25"/>
  <c r="X26" i="25" s="1"/>
  <c r="H26" i="25"/>
  <c r="D26" i="25"/>
  <c r="L26" i="25" s="1"/>
  <c r="N26" i="25" s="1"/>
  <c r="B26" i="25"/>
  <c r="X25" i="25"/>
  <c r="T25" i="25"/>
  <c r="Z25" i="25" s="1"/>
  <c r="P25" i="25"/>
  <c r="H25" i="25"/>
  <c r="D25" i="25"/>
  <c r="L25" i="25" s="1"/>
  <c r="B25" i="25"/>
  <c r="Z24" i="25"/>
  <c r="X24" i="25"/>
  <c r="T24" i="25"/>
  <c r="P24" i="25"/>
  <c r="H24" i="25"/>
  <c r="D24" i="25"/>
  <c r="B24" i="25"/>
  <c r="T23" i="25"/>
  <c r="X23" i="25" s="1"/>
  <c r="Z23" i="25" s="1"/>
  <c r="P23" i="25"/>
  <c r="L23" i="25"/>
  <c r="N23" i="25" s="1"/>
  <c r="H23" i="25"/>
  <c r="D23" i="25"/>
  <c r="B23" i="25"/>
  <c r="T22" i="25"/>
  <c r="P22" i="25"/>
  <c r="X22" i="25" s="1"/>
  <c r="Z22" i="25" s="1"/>
  <c r="H22" i="25"/>
  <c r="D22" i="25"/>
  <c r="L22" i="25" s="1"/>
  <c r="B22" i="25"/>
  <c r="T21" i="25"/>
  <c r="P21" i="25"/>
  <c r="X21" i="25" s="1"/>
  <c r="L21" i="25"/>
  <c r="H21" i="25"/>
  <c r="D21" i="25"/>
  <c r="B21" i="25"/>
  <c r="X20" i="25"/>
  <c r="T20" i="25"/>
  <c r="P20" i="25"/>
  <c r="N20" i="25"/>
  <c r="L20" i="25"/>
  <c r="H20" i="25"/>
  <c r="D20" i="25"/>
  <c r="B20" i="25"/>
  <c r="T19" i="25"/>
  <c r="P19" i="25"/>
  <c r="X19" i="25" s="1"/>
  <c r="Z19" i="25" s="1"/>
  <c r="H19" i="25"/>
  <c r="L19" i="25" s="1"/>
  <c r="N19" i="25" s="1"/>
  <c r="D19" i="25"/>
  <c r="B19" i="25"/>
  <c r="T18" i="25"/>
  <c r="P18" i="25"/>
  <c r="H18" i="25"/>
  <c r="D18" i="25"/>
  <c r="L18" i="25" s="1"/>
  <c r="N18" i="25" s="1"/>
  <c r="B18" i="25"/>
  <c r="X17" i="25"/>
  <c r="T17" i="25"/>
  <c r="Z17" i="25" s="1"/>
  <c r="P17" i="25"/>
  <c r="H17" i="25"/>
  <c r="D17" i="25"/>
  <c r="B17" i="25"/>
  <c r="Z16" i="25"/>
  <c r="X16" i="25"/>
  <c r="T16" i="25"/>
  <c r="P16" i="25"/>
  <c r="H16" i="25"/>
  <c r="D16" i="25"/>
  <c r="B16" i="25"/>
  <c r="T15" i="25"/>
  <c r="X15" i="25" s="1"/>
  <c r="Z15" i="25" s="1"/>
  <c r="P15" i="25"/>
  <c r="H15" i="25"/>
  <c r="D15" i="25"/>
  <c r="L15" i="25" s="1"/>
  <c r="N15" i="25" s="1"/>
  <c r="B15" i="25"/>
  <c r="T14" i="25"/>
  <c r="P14" i="25"/>
  <c r="X14" i="25" s="1"/>
  <c r="Z14" i="25" s="1"/>
  <c r="H14" i="25"/>
  <c r="D14" i="25"/>
  <c r="B14" i="25"/>
  <c r="T13" i="25"/>
  <c r="P13" i="25"/>
  <c r="L13" i="25"/>
  <c r="H13" i="25"/>
  <c r="N13" i="25" s="1"/>
  <c r="D13" i="25"/>
  <c r="B13" i="25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P20" i="24"/>
  <c r="H20" i="24"/>
  <c r="N20" i="24" s="1"/>
  <c r="D20" i="24"/>
  <c r="T16" i="24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P12" i="24"/>
  <c r="R36" i="24" s="1"/>
  <c r="H12" i="24"/>
  <c r="J34" i="24" s="1"/>
  <c r="D12" i="24"/>
  <c r="F20" i="24" s="1"/>
  <c r="D5" i="24"/>
  <c r="D4" i="24"/>
  <c r="B39" i="23"/>
  <c r="B38" i="23"/>
  <c r="T34" i="23"/>
  <c r="Z34" i="23" s="1"/>
  <c r="P34" i="23"/>
  <c r="H34" i="23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D20" i="23"/>
  <c r="T16" i="23"/>
  <c r="Z16" i="23" s="1"/>
  <c r="P16" i="23"/>
  <c r="H16" i="23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36" i="23" s="1"/>
  <c r="P12" i="23"/>
  <c r="R36" i="23" s="1"/>
  <c r="H12" i="23"/>
  <c r="J34" i="23" s="1"/>
  <c r="D12" i="23"/>
  <c r="F36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D25" i="22"/>
  <c r="B25" i="22"/>
  <c r="T24" i="22"/>
  <c r="Z24" i="22" s="1"/>
  <c r="P24" i="22"/>
  <c r="H24" i="22"/>
  <c r="N24" i="22" s="1"/>
  <c r="D24" i="22"/>
  <c r="T22" i="22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D20" i="22"/>
  <c r="T16" i="22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18" i="22" s="1"/>
  <c r="P12" i="22"/>
  <c r="R24" i="22" s="1"/>
  <c r="H12" i="22"/>
  <c r="J22" i="22" s="1"/>
  <c r="D12" i="22"/>
  <c r="D5" i="22"/>
  <c r="D4" i="22"/>
  <c r="Z90" i="21"/>
  <c r="X90" i="21"/>
  <c r="L90" i="21"/>
  <c r="N90" i="21" s="1"/>
  <c r="Z86" i="21"/>
  <c r="X86" i="21"/>
  <c r="T86" i="21"/>
  <c r="P86" i="21"/>
  <c r="H86" i="21"/>
  <c r="N86" i="21" s="1"/>
  <c r="D86" i="21"/>
  <c r="L86" i="21" s="1"/>
  <c r="Z84" i="21"/>
  <c r="X84" i="21"/>
  <c r="L84" i="21"/>
  <c r="N84" i="21" s="1"/>
  <c r="B84" i="21"/>
  <c r="T83" i="21"/>
  <c r="R83" i="21"/>
  <c r="P83" i="21"/>
  <c r="X83" i="21" s="1"/>
  <c r="Z83" i="21" s="1"/>
  <c r="L83" i="21"/>
  <c r="N83" i="21" s="1"/>
  <c r="H83" i="21"/>
  <c r="D83" i="21"/>
  <c r="B83" i="21"/>
  <c r="X82" i="21"/>
  <c r="Z82" i="21" s="1"/>
  <c r="L82" i="21"/>
  <c r="N82" i="21" s="1"/>
  <c r="B82" i="21"/>
  <c r="X81" i="21"/>
  <c r="Z81" i="21" s="1"/>
  <c r="T81" i="21"/>
  <c r="P81" i="21"/>
  <c r="H81" i="21"/>
  <c r="L81" i="21" s="1"/>
  <c r="N81" i="21" s="1"/>
  <c r="D81" i="21"/>
  <c r="B81" i="21"/>
  <c r="X80" i="21"/>
  <c r="Z80" i="21" s="1"/>
  <c r="N80" i="21"/>
  <c r="L80" i="21"/>
  <c r="B80" i="21"/>
  <c r="Z79" i="21"/>
  <c r="X79" i="21"/>
  <c r="N79" i="21"/>
  <c r="L79" i="21"/>
  <c r="B79" i="21"/>
  <c r="X78" i="21"/>
  <c r="Z78" i="21" s="1"/>
  <c r="N78" i="21"/>
  <c r="L78" i="21"/>
  <c r="B78" i="21"/>
  <c r="X77" i="21"/>
  <c r="Z77" i="21" s="1"/>
  <c r="N77" i="21"/>
  <c r="L77" i="21"/>
  <c r="B77" i="21"/>
  <c r="Z76" i="21"/>
  <c r="X76" i="21"/>
  <c r="N76" i="21"/>
  <c r="L76" i="21"/>
  <c r="B76" i="21"/>
  <c r="Z75" i="21"/>
  <c r="X75" i="21"/>
  <c r="N75" i="21"/>
  <c r="L75" i="21"/>
  <c r="B75" i="21"/>
  <c r="T74" i="21"/>
  <c r="P74" i="21"/>
  <c r="N74" i="21"/>
  <c r="H74" i="21"/>
  <c r="D74" i="21"/>
  <c r="L74" i="21" s="1"/>
  <c r="B74" i="21"/>
  <c r="Z73" i="21"/>
  <c r="X73" i="21"/>
  <c r="N73" i="21"/>
  <c r="L73" i="21"/>
  <c r="B73" i="21"/>
  <c r="Z72" i="21"/>
  <c r="X72" i="21"/>
  <c r="N72" i="21"/>
  <c r="L72" i="21"/>
  <c r="B72" i="21"/>
  <c r="Z71" i="21"/>
  <c r="X71" i="21"/>
  <c r="N71" i="21"/>
  <c r="L71" i="21"/>
  <c r="B71" i="21"/>
  <c r="X70" i="21"/>
  <c r="Z70" i="21" s="1"/>
  <c r="L70" i="21"/>
  <c r="N70" i="21" s="1"/>
  <c r="B70" i="21"/>
  <c r="T69" i="21"/>
  <c r="P69" i="21"/>
  <c r="X69" i="21" s="1"/>
  <c r="Z69" i="21" s="1"/>
  <c r="H69" i="21"/>
  <c r="D69" i="21"/>
  <c r="L69" i="21" s="1"/>
  <c r="N69" i="21" s="1"/>
  <c r="B69" i="21"/>
  <c r="Z68" i="21"/>
  <c r="X68" i="21"/>
  <c r="N68" i="21"/>
  <c r="L68" i="21"/>
  <c r="B68" i="21"/>
  <c r="T67" i="21"/>
  <c r="P67" i="21"/>
  <c r="X67" i="21" s="1"/>
  <c r="Z67" i="21" s="1"/>
  <c r="N67" i="21"/>
  <c r="L67" i="21"/>
  <c r="H67" i="21"/>
  <c r="D67" i="21"/>
  <c r="B67" i="21"/>
  <c r="X66" i="21"/>
  <c r="Z66" i="21" s="1"/>
  <c r="N66" i="21"/>
  <c r="L66" i="21"/>
  <c r="B66" i="21"/>
  <c r="X65" i="21"/>
  <c r="Z65" i="21" s="1"/>
  <c r="N65" i="21"/>
  <c r="L65" i="21"/>
  <c r="B65" i="21"/>
  <c r="T64" i="21"/>
  <c r="P64" i="21"/>
  <c r="X64" i="21" s="1"/>
  <c r="Z64" i="21" s="1"/>
  <c r="H64" i="21"/>
  <c r="N64" i="21" s="1"/>
  <c r="D64" i="21"/>
  <c r="B64" i="21"/>
  <c r="Z63" i="21"/>
  <c r="X63" i="21"/>
  <c r="N63" i="21"/>
  <c r="L63" i="21"/>
  <c r="B63" i="21"/>
  <c r="T62" i="21"/>
  <c r="P62" i="21"/>
  <c r="L62" i="21"/>
  <c r="N62" i="21" s="1"/>
  <c r="H62" i="21"/>
  <c r="D62" i="21"/>
  <c r="B62" i="21"/>
  <c r="X61" i="21"/>
  <c r="Z61" i="21" s="1"/>
  <c r="L61" i="21"/>
  <c r="N61" i="21" s="1"/>
  <c r="B61" i="21"/>
  <c r="X60" i="21"/>
  <c r="Z60" i="21" s="1"/>
  <c r="T60" i="21"/>
  <c r="P60" i="21"/>
  <c r="H60" i="21"/>
  <c r="D60" i="21"/>
  <c r="L60" i="21" s="1"/>
  <c r="B60" i="21"/>
  <c r="Z59" i="21"/>
  <c r="X59" i="21"/>
  <c r="N59" i="21"/>
  <c r="L59" i="21"/>
  <c r="B59" i="21"/>
  <c r="T58" i="21"/>
  <c r="P58" i="21"/>
  <c r="X58" i="21" s="1"/>
  <c r="H58" i="21"/>
  <c r="D58" i="21"/>
  <c r="L58" i="21" s="1"/>
  <c r="N58" i="21" s="1"/>
  <c r="B58" i="21"/>
  <c r="X57" i="21"/>
  <c r="Z57" i="21" s="1"/>
  <c r="L57" i="21"/>
  <c r="N57" i="21" s="1"/>
  <c r="B57" i="21"/>
  <c r="T56" i="21"/>
  <c r="P56" i="21"/>
  <c r="X56" i="21" s="1"/>
  <c r="Z56" i="21" s="1"/>
  <c r="H56" i="21"/>
  <c r="D56" i="21"/>
  <c r="B56" i="21"/>
  <c r="Z55" i="21"/>
  <c r="X55" i="21"/>
  <c r="N55" i="21"/>
  <c r="L55" i="21"/>
  <c r="B55" i="21"/>
  <c r="T54" i="21"/>
  <c r="P54" i="21"/>
  <c r="L54" i="21"/>
  <c r="N54" i="21" s="1"/>
  <c r="H54" i="21"/>
  <c r="D54" i="21"/>
  <c r="B54" i="21"/>
  <c r="X53" i="21"/>
  <c r="Z53" i="21" s="1"/>
  <c r="L53" i="21"/>
  <c r="N53" i="21" s="1"/>
  <c r="B53" i="21"/>
  <c r="X52" i="21"/>
  <c r="Z52" i="21" s="1"/>
  <c r="N52" i="21"/>
  <c r="L52" i="21"/>
  <c r="B52" i="21"/>
  <c r="T51" i="21"/>
  <c r="P51" i="21"/>
  <c r="X51" i="21" s="1"/>
  <c r="Z51" i="21" s="1"/>
  <c r="H51" i="21"/>
  <c r="D51" i="21"/>
  <c r="L51" i="21" s="1"/>
  <c r="N51" i="21" s="1"/>
  <c r="B51" i="21"/>
  <c r="X50" i="21"/>
  <c r="Z50" i="21" s="1"/>
  <c r="R50" i="21"/>
  <c r="L50" i="21"/>
  <c r="N50" i="21" s="1"/>
  <c r="B50" i="21"/>
  <c r="T49" i="21"/>
  <c r="P49" i="21"/>
  <c r="X49" i="21" s="1"/>
  <c r="Z49" i="21" s="1"/>
  <c r="H49" i="21"/>
  <c r="L49" i="21" s="1"/>
  <c r="N49" i="21" s="1"/>
  <c r="D49" i="21"/>
  <c r="B49" i="21"/>
  <c r="Z48" i="21"/>
  <c r="X48" i="21"/>
  <c r="N48" i="21"/>
  <c r="L48" i="21"/>
  <c r="B48" i="21"/>
  <c r="T47" i="21"/>
  <c r="X47" i="21" s="1"/>
  <c r="Z47" i="21" s="1"/>
  <c r="R47" i="21"/>
  <c r="P47" i="21"/>
  <c r="N47" i="21"/>
  <c r="L47" i="21"/>
  <c r="H47" i="21"/>
  <c r="D47" i="21"/>
  <c r="B47" i="21"/>
  <c r="Z46" i="21"/>
  <c r="X46" i="21"/>
  <c r="N46" i="21"/>
  <c r="L46" i="21"/>
  <c r="B46" i="21"/>
  <c r="Z45" i="21"/>
  <c r="X45" i="21"/>
  <c r="T45" i="21"/>
  <c r="P45" i="21"/>
  <c r="N45" i="21"/>
  <c r="H45" i="21"/>
  <c r="D45" i="21"/>
  <c r="L45" i="21" s="1"/>
  <c r="B45" i="21"/>
  <c r="Z44" i="21"/>
  <c r="X44" i="21"/>
  <c r="N44" i="21"/>
  <c r="L44" i="21"/>
  <c r="B44" i="21"/>
  <c r="Z43" i="21"/>
  <c r="X43" i="21"/>
  <c r="N43" i="21"/>
  <c r="L43" i="21"/>
  <c r="B43" i="21"/>
  <c r="Z42" i="21"/>
  <c r="X42" i="21"/>
  <c r="N42" i="21"/>
  <c r="L42" i="21"/>
  <c r="B42" i="21"/>
  <c r="X41" i="21"/>
  <c r="Z41" i="21" s="1"/>
  <c r="N41" i="21"/>
  <c r="L41" i="21"/>
  <c r="B41" i="21"/>
  <c r="T40" i="21"/>
  <c r="P40" i="21"/>
  <c r="X40" i="21" s="1"/>
  <c r="Z40" i="21" s="1"/>
  <c r="H40" i="21"/>
  <c r="N40" i="21" s="1"/>
  <c r="D40" i="21"/>
  <c r="B40" i="21"/>
  <c r="Z39" i="21"/>
  <c r="X39" i="21"/>
  <c r="N39" i="21"/>
  <c r="L39" i="21"/>
  <c r="B39" i="21"/>
  <c r="X38" i="21"/>
  <c r="Z38" i="21" s="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Z35" i="21"/>
  <c r="X35" i="21"/>
  <c r="N35" i="21"/>
  <c r="L35" i="21"/>
  <c r="B35" i="21"/>
  <c r="X34" i="21"/>
  <c r="Z34" i="21" s="1"/>
  <c r="N34" i="21"/>
  <c r="L34" i="21"/>
  <c r="B34" i="21"/>
  <c r="X33" i="21"/>
  <c r="Z33" i="21" s="1"/>
  <c r="N33" i="21"/>
  <c r="L33" i="21"/>
  <c r="B33" i="21"/>
  <c r="X32" i="21"/>
  <c r="Z32" i="21" s="1"/>
  <c r="N32" i="21"/>
  <c r="L32" i="21"/>
  <c r="B32" i="21"/>
  <c r="Z31" i="21"/>
  <c r="X31" i="21"/>
  <c r="N31" i="21"/>
  <c r="L31" i="21"/>
  <c r="B31" i="21"/>
  <c r="T30" i="21"/>
  <c r="P30" i="21"/>
  <c r="X30" i="21" s="1"/>
  <c r="N30" i="21"/>
  <c r="L30" i="21"/>
  <c r="H30" i="21"/>
  <c r="D30" i="21"/>
  <c r="B30" i="21"/>
  <c r="V29" i="21"/>
  <c r="T29" i="21"/>
  <c r="P29" i="21"/>
  <c r="X29" i="21" s="1"/>
  <c r="Z29" i="21" s="1"/>
  <c r="H29" i="21"/>
  <c r="D29" i="21"/>
  <c r="L29" i="21" s="1"/>
  <c r="X25" i="21"/>
  <c r="Z25" i="21" s="1"/>
  <c r="V25" i="21"/>
  <c r="N25" i="21"/>
  <c r="L25" i="21"/>
  <c r="B25" i="21"/>
  <c r="X24" i="21"/>
  <c r="Z24" i="21" s="1"/>
  <c r="N24" i="21"/>
  <c r="L24" i="21"/>
  <c r="B24" i="21"/>
  <c r="Z23" i="21"/>
  <c r="T23" i="21"/>
  <c r="X23" i="21" s="1"/>
  <c r="P23" i="21"/>
  <c r="H23" i="21"/>
  <c r="D23" i="21"/>
  <c r="L23" i="21" s="1"/>
  <c r="N23" i="21" s="1"/>
  <c r="T21" i="21"/>
  <c r="P21" i="21"/>
  <c r="X21" i="21" s="1"/>
  <c r="Z21" i="21" s="1"/>
  <c r="N21" i="21"/>
  <c r="H21" i="21"/>
  <c r="D21" i="21"/>
  <c r="L21" i="21" s="1"/>
  <c r="B21" i="21"/>
  <c r="T20" i="21"/>
  <c r="Z20" i="21" s="1"/>
  <c r="P20" i="21"/>
  <c r="X20" i="21" s="1"/>
  <c r="H20" i="21"/>
  <c r="N20" i="21" s="1"/>
  <c r="D20" i="21"/>
  <c r="L20" i="21" s="1"/>
  <c r="B20" i="21"/>
  <c r="T19" i="21"/>
  <c r="P19" i="21"/>
  <c r="L19" i="21"/>
  <c r="H19" i="21"/>
  <c r="N19" i="21" s="1"/>
  <c r="D19" i="21"/>
  <c r="B19" i="21"/>
  <c r="X18" i="21"/>
  <c r="Z18" i="21" s="1"/>
  <c r="T18" i="21"/>
  <c r="P18" i="21"/>
  <c r="N18" i="21"/>
  <c r="L18" i="21"/>
  <c r="H18" i="21"/>
  <c r="D18" i="21"/>
  <c r="B18" i="21"/>
  <c r="Z17" i="21"/>
  <c r="T17" i="21"/>
  <c r="P17" i="21"/>
  <c r="X17" i="21" s="1"/>
  <c r="N17" i="21"/>
  <c r="H17" i="21"/>
  <c r="D17" i="21"/>
  <c r="L17" i="21" s="1"/>
  <c r="B17" i="21"/>
  <c r="T16" i="21"/>
  <c r="T12" i="21" s="1"/>
  <c r="V61" i="21" s="1"/>
  <c r="P16" i="21"/>
  <c r="X16" i="21" s="1"/>
  <c r="H16" i="21"/>
  <c r="N16" i="21" s="1"/>
  <c r="D16" i="21"/>
  <c r="L16" i="21" s="1"/>
  <c r="B16" i="21"/>
  <c r="X15" i="21"/>
  <c r="T15" i="21"/>
  <c r="Z15" i="21" s="1"/>
  <c r="P15" i="21"/>
  <c r="H15" i="21"/>
  <c r="D15" i="21"/>
  <c r="B15" i="21"/>
  <c r="Z14" i="21"/>
  <c r="X14" i="21"/>
  <c r="T14" i="21"/>
  <c r="P14" i="21"/>
  <c r="N14" i="21"/>
  <c r="L14" i="21"/>
  <c r="H14" i="21"/>
  <c r="D14" i="21"/>
  <c r="B14" i="21"/>
  <c r="Z13" i="21"/>
  <c r="T13" i="21"/>
  <c r="P13" i="21"/>
  <c r="X13" i="21" s="1"/>
  <c r="N13" i="21"/>
  <c r="H13" i="21"/>
  <c r="D13" i="21"/>
  <c r="L13" i="21" s="1"/>
  <c r="B13" i="21"/>
  <c r="P12" i="21"/>
  <c r="R70" i="21" s="1"/>
  <c r="D4" i="21"/>
  <c r="B39" i="20"/>
  <c r="B38" i="20"/>
  <c r="T34" i="20"/>
  <c r="Z34" i="20" s="1"/>
  <c r="P34" i="20"/>
  <c r="H34" i="20"/>
  <c r="N34" i="20" s="1"/>
  <c r="D34" i="20"/>
  <c r="T33" i="20"/>
  <c r="P33" i="20"/>
  <c r="H33" i="20"/>
  <c r="N33" i="20" s="1"/>
  <c r="D33" i="20"/>
  <c r="T29" i="20"/>
  <c r="Z29" i="20" s="1"/>
  <c r="P29" i="20"/>
  <c r="H29" i="20"/>
  <c r="N29" i="20" s="1"/>
  <c r="D29" i="20"/>
  <c r="T25" i="20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0" i="20" s="1"/>
  <c r="P12" i="20"/>
  <c r="R31" i="20" s="1"/>
  <c r="H12" i="20"/>
  <c r="J24" i="20" s="1"/>
  <c r="D12" i="20"/>
  <c r="F20" i="20" s="1"/>
  <c r="D5" i="20"/>
  <c r="D4" i="20"/>
  <c r="B39" i="19"/>
  <c r="B38" i="19"/>
  <c r="T34" i="19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D21" i="19"/>
  <c r="B21" i="19"/>
  <c r="T20" i="19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4" i="19" s="1"/>
  <c r="P12" i="19"/>
  <c r="R36" i="19" s="1"/>
  <c r="H12" i="19"/>
  <c r="J34" i="19" s="1"/>
  <c r="D12" i="19"/>
  <c r="F21" i="19" s="1"/>
  <c r="D5" i="19"/>
  <c r="D4" i="19"/>
  <c r="Z246" i="18"/>
  <c r="X246" i="18"/>
  <c r="N246" i="18"/>
  <c r="L246" i="18"/>
  <c r="T242" i="18"/>
  <c r="X242" i="18" s="1"/>
  <c r="P242" i="18"/>
  <c r="N242" i="18"/>
  <c r="L242" i="18"/>
  <c r="H242" i="18"/>
  <c r="D242" i="18"/>
  <c r="B242" i="18"/>
  <c r="T241" i="18"/>
  <c r="P241" i="18"/>
  <c r="X241" i="18" s="1"/>
  <c r="L241" i="18"/>
  <c r="N241" i="18" s="1"/>
  <c r="H241" i="18"/>
  <c r="D241" i="18"/>
  <c r="B241" i="18"/>
  <c r="T240" i="18"/>
  <c r="P240" i="18"/>
  <c r="X240" i="18" s="1"/>
  <c r="Z240" i="18" s="1"/>
  <c r="H240" i="18"/>
  <c r="L240" i="18" s="1"/>
  <c r="D240" i="18"/>
  <c r="B240" i="18"/>
  <c r="T239" i="18"/>
  <c r="P239" i="18"/>
  <c r="H239" i="18"/>
  <c r="N239" i="18" s="1"/>
  <c r="D239" i="18"/>
  <c r="L239" i="18" s="1"/>
  <c r="B239" i="18"/>
  <c r="Z238" i="18"/>
  <c r="T238" i="18"/>
  <c r="P238" i="18"/>
  <c r="X238" i="18" s="1"/>
  <c r="N238" i="18"/>
  <c r="H238" i="18"/>
  <c r="D238" i="18"/>
  <c r="L238" i="18" s="1"/>
  <c r="B238" i="18"/>
  <c r="T237" i="18"/>
  <c r="P237" i="18"/>
  <c r="H237" i="18"/>
  <c r="D237" i="18"/>
  <c r="B237" i="18"/>
  <c r="H236" i="18"/>
  <c r="X234" i="18"/>
  <c r="Z234" i="18" s="1"/>
  <c r="L234" i="18"/>
  <c r="N234" i="18" s="1"/>
  <c r="B234" i="18"/>
  <c r="X233" i="18"/>
  <c r="Z233" i="18" s="1"/>
  <c r="T233" i="18"/>
  <c r="P233" i="18"/>
  <c r="H233" i="18"/>
  <c r="D233" i="18"/>
  <c r="B233" i="18"/>
  <c r="Z232" i="18"/>
  <c r="X232" i="18"/>
  <c r="N232" i="18"/>
  <c r="L232" i="18"/>
  <c r="B232" i="18"/>
  <c r="X231" i="18"/>
  <c r="Z231" i="18" s="1"/>
  <c r="L231" i="18"/>
  <c r="N231" i="18" s="1"/>
  <c r="B231" i="18"/>
  <c r="X230" i="18"/>
  <c r="Z230" i="18" s="1"/>
  <c r="N230" i="18"/>
  <c r="L230" i="18"/>
  <c r="B230" i="18"/>
  <c r="X229" i="18"/>
  <c r="Z229" i="18" s="1"/>
  <c r="T229" i="18"/>
  <c r="P229" i="18"/>
  <c r="H229" i="18"/>
  <c r="D229" i="18"/>
  <c r="B229" i="18"/>
  <c r="Z228" i="18"/>
  <c r="X228" i="18"/>
  <c r="N228" i="18"/>
  <c r="L228" i="18"/>
  <c r="B228" i="18"/>
  <c r="T227" i="18"/>
  <c r="P227" i="18"/>
  <c r="N227" i="18"/>
  <c r="H227" i="18"/>
  <c r="D227" i="18"/>
  <c r="L227" i="18" s="1"/>
  <c r="B227" i="18"/>
  <c r="X226" i="18"/>
  <c r="Z226" i="18" s="1"/>
  <c r="L226" i="18"/>
  <c r="N226" i="18" s="1"/>
  <c r="B226" i="18"/>
  <c r="Z225" i="18"/>
  <c r="X225" i="18"/>
  <c r="L225" i="18"/>
  <c r="N225" i="18" s="1"/>
  <c r="B225" i="18"/>
  <c r="T224" i="18"/>
  <c r="Z224" i="18" s="1"/>
  <c r="P224" i="18"/>
  <c r="X224" i="18" s="1"/>
  <c r="L224" i="18"/>
  <c r="N224" i="18" s="1"/>
  <c r="H224" i="18"/>
  <c r="D224" i="18"/>
  <c r="B224" i="18"/>
  <c r="X223" i="18"/>
  <c r="Z223" i="18" s="1"/>
  <c r="L223" i="18"/>
  <c r="N223" i="18" s="1"/>
  <c r="B223" i="18"/>
  <c r="X222" i="18"/>
  <c r="Z222" i="18" s="1"/>
  <c r="N222" i="18"/>
  <c r="L222" i="18"/>
  <c r="B222" i="18"/>
  <c r="Z221" i="18"/>
  <c r="X221" i="18"/>
  <c r="L221" i="18"/>
  <c r="N221" i="18" s="1"/>
  <c r="B221" i="18"/>
  <c r="Z220" i="18"/>
  <c r="X220" i="18"/>
  <c r="N220" i="18"/>
  <c r="L220" i="18"/>
  <c r="B220" i="18"/>
  <c r="X219" i="18"/>
  <c r="Z219" i="18" s="1"/>
  <c r="L219" i="18"/>
  <c r="N219" i="18" s="1"/>
  <c r="B219" i="18"/>
  <c r="X218" i="18"/>
  <c r="Z218" i="18" s="1"/>
  <c r="L218" i="18"/>
  <c r="N218" i="18" s="1"/>
  <c r="B218" i="18"/>
  <c r="X217" i="18"/>
  <c r="Z217" i="18" s="1"/>
  <c r="N217" i="18"/>
  <c r="L217" i="18"/>
  <c r="B217" i="18"/>
  <c r="Z216" i="18"/>
  <c r="T216" i="18"/>
  <c r="P216" i="18"/>
  <c r="X216" i="18" s="1"/>
  <c r="H216" i="18"/>
  <c r="D216" i="18"/>
  <c r="L216" i="18" s="1"/>
  <c r="N216" i="18" s="1"/>
  <c r="B216" i="18"/>
  <c r="X215" i="18"/>
  <c r="Z215" i="18" s="1"/>
  <c r="L215" i="18"/>
  <c r="N215" i="18" s="1"/>
  <c r="B215" i="18"/>
  <c r="X214" i="18"/>
  <c r="Z214" i="18" s="1"/>
  <c r="L214" i="18"/>
  <c r="N214" i="18" s="1"/>
  <c r="B214" i="18"/>
  <c r="X213" i="18"/>
  <c r="Z213" i="18" s="1"/>
  <c r="T213" i="18"/>
  <c r="P213" i="18"/>
  <c r="H213" i="18"/>
  <c r="D213" i="18"/>
  <c r="B213" i="18"/>
  <c r="Z212" i="18"/>
  <c r="X212" i="18"/>
  <c r="N212" i="18"/>
  <c r="L212" i="18"/>
  <c r="B212" i="18"/>
  <c r="X211" i="18"/>
  <c r="Z211" i="18" s="1"/>
  <c r="L211" i="18"/>
  <c r="N211" i="18" s="1"/>
  <c r="B211" i="18"/>
  <c r="X210" i="18"/>
  <c r="Z210" i="18" s="1"/>
  <c r="N210" i="18"/>
  <c r="L210" i="18"/>
  <c r="B210" i="18"/>
  <c r="X209" i="18"/>
  <c r="Z209" i="18" s="1"/>
  <c r="N209" i="18"/>
  <c r="L209" i="18"/>
  <c r="B209" i="18"/>
  <c r="Z208" i="18"/>
  <c r="T208" i="18"/>
  <c r="P208" i="18"/>
  <c r="X208" i="18" s="1"/>
  <c r="H208" i="18"/>
  <c r="D208" i="18"/>
  <c r="L208" i="18" s="1"/>
  <c r="N208" i="18" s="1"/>
  <c r="B208" i="18"/>
  <c r="X207" i="18"/>
  <c r="Z207" i="18" s="1"/>
  <c r="L207" i="18"/>
  <c r="N207" i="18" s="1"/>
  <c r="B207" i="18"/>
  <c r="Z206" i="18"/>
  <c r="X206" i="18"/>
  <c r="N206" i="18"/>
  <c r="L206" i="18"/>
  <c r="B206" i="18"/>
  <c r="X205" i="18"/>
  <c r="Z205" i="18" s="1"/>
  <c r="N205" i="18"/>
  <c r="L205" i="18"/>
  <c r="B205" i="18"/>
  <c r="Z204" i="18"/>
  <c r="T204" i="18"/>
  <c r="P204" i="18"/>
  <c r="X204" i="18" s="1"/>
  <c r="H204" i="18"/>
  <c r="D204" i="18"/>
  <c r="L204" i="18" s="1"/>
  <c r="N204" i="18" s="1"/>
  <c r="B204" i="18"/>
  <c r="X203" i="18"/>
  <c r="Z203" i="18" s="1"/>
  <c r="L203" i="18"/>
  <c r="N203" i="18" s="1"/>
  <c r="B203" i="18"/>
  <c r="X202" i="18"/>
  <c r="Z202" i="18" s="1"/>
  <c r="L202" i="18"/>
  <c r="N202" i="18" s="1"/>
  <c r="B202" i="18"/>
  <c r="Z201" i="18"/>
  <c r="X201" i="18"/>
  <c r="N201" i="18"/>
  <c r="L201" i="18"/>
  <c r="B201" i="18"/>
  <c r="Z200" i="18"/>
  <c r="X200" i="18"/>
  <c r="N200" i="18"/>
  <c r="L200" i="18"/>
  <c r="B200" i="18"/>
  <c r="T199" i="18"/>
  <c r="P199" i="18"/>
  <c r="X199" i="18" s="1"/>
  <c r="L199" i="18"/>
  <c r="N199" i="18" s="1"/>
  <c r="H199" i="18"/>
  <c r="D199" i="18"/>
  <c r="B199" i="18"/>
  <c r="X198" i="18"/>
  <c r="Z198" i="18" s="1"/>
  <c r="L198" i="18"/>
  <c r="N198" i="18" s="1"/>
  <c r="B198" i="18"/>
  <c r="X197" i="18"/>
  <c r="Z197" i="18" s="1"/>
  <c r="T197" i="18"/>
  <c r="P197" i="18"/>
  <c r="H197" i="18"/>
  <c r="D197" i="18"/>
  <c r="B197" i="18"/>
  <c r="Z196" i="18"/>
  <c r="X196" i="18"/>
  <c r="N196" i="18"/>
  <c r="L196" i="18"/>
  <c r="B196" i="18"/>
  <c r="T195" i="18"/>
  <c r="P195" i="18"/>
  <c r="N195" i="18"/>
  <c r="H195" i="18"/>
  <c r="D195" i="18"/>
  <c r="L195" i="18" s="1"/>
  <c r="B195" i="18"/>
  <c r="Z194" i="18"/>
  <c r="X194" i="18"/>
  <c r="N194" i="18"/>
  <c r="L194" i="18"/>
  <c r="B194" i="18"/>
  <c r="Z193" i="18"/>
  <c r="X193" i="18"/>
  <c r="L193" i="18"/>
  <c r="N193" i="18" s="1"/>
  <c r="B193" i="18"/>
  <c r="T192" i="18"/>
  <c r="X192" i="18" s="1"/>
  <c r="P192" i="18"/>
  <c r="L192" i="18"/>
  <c r="N192" i="18" s="1"/>
  <c r="H192" i="18"/>
  <c r="D192" i="18"/>
  <c r="B192" i="18"/>
  <c r="X191" i="18"/>
  <c r="Z191" i="18" s="1"/>
  <c r="L191" i="18"/>
  <c r="N191" i="18" s="1"/>
  <c r="B191" i="18"/>
  <c r="X190" i="18"/>
  <c r="Z190" i="18" s="1"/>
  <c r="T190" i="18"/>
  <c r="P190" i="18"/>
  <c r="N190" i="18"/>
  <c r="H190" i="18"/>
  <c r="D190" i="18"/>
  <c r="L190" i="18" s="1"/>
  <c r="B190" i="18"/>
  <c r="X189" i="18"/>
  <c r="Z189" i="18" s="1"/>
  <c r="N189" i="18"/>
  <c r="L189" i="18"/>
  <c r="B189" i="18"/>
  <c r="Z188" i="18"/>
  <c r="T188" i="18"/>
  <c r="P188" i="18"/>
  <c r="X188" i="18" s="1"/>
  <c r="H188" i="18"/>
  <c r="D188" i="18"/>
  <c r="L188" i="18" s="1"/>
  <c r="N188" i="18" s="1"/>
  <c r="B188" i="18"/>
  <c r="X187" i="18"/>
  <c r="Z187" i="18" s="1"/>
  <c r="L187" i="18"/>
  <c r="N187" i="18" s="1"/>
  <c r="B187" i="18"/>
  <c r="X186" i="18"/>
  <c r="Z186" i="18" s="1"/>
  <c r="L186" i="18"/>
  <c r="N186" i="18" s="1"/>
  <c r="B186" i="18"/>
  <c r="X185" i="18"/>
  <c r="Z185" i="18" s="1"/>
  <c r="T185" i="18"/>
  <c r="P185" i="18"/>
  <c r="H185" i="18"/>
  <c r="D185" i="18"/>
  <c r="B185" i="18"/>
  <c r="Z184" i="18"/>
  <c r="X184" i="18"/>
  <c r="N184" i="18"/>
  <c r="L184" i="18"/>
  <c r="B184" i="18"/>
  <c r="T183" i="18"/>
  <c r="P183" i="18"/>
  <c r="H183" i="18"/>
  <c r="D183" i="18"/>
  <c r="L183" i="18" s="1"/>
  <c r="N183" i="18" s="1"/>
  <c r="B183" i="18"/>
  <c r="X182" i="18"/>
  <c r="Z182" i="18" s="1"/>
  <c r="L182" i="18"/>
  <c r="N182" i="18" s="1"/>
  <c r="B182" i="18"/>
  <c r="T181" i="18"/>
  <c r="P181" i="18"/>
  <c r="X181" i="18" s="1"/>
  <c r="Z181" i="18" s="1"/>
  <c r="H181" i="18"/>
  <c r="D181" i="18"/>
  <c r="L181" i="18" s="1"/>
  <c r="B181" i="18"/>
  <c r="Z180" i="18"/>
  <c r="X180" i="18"/>
  <c r="N180" i="18"/>
  <c r="L180" i="18"/>
  <c r="B180" i="18"/>
  <c r="T179" i="18"/>
  <c r="Z179" i="18" s="1"/>
  <c r="P179" i="18"/>
  <c r="X179" i="18" s="1"/>
  <c r="N179" i="18"/>
  <c r="L179" i="18"/>
  <c r="H179" i="18"/>
  <c r="D179" i="18"/>
  <c r="B179" i="18"/>
  <c r="X178" i="18"/>
  <c r="Z178" i="18" s="1"/>
  <c r="L178" i="18"/>
  <c r="N178" i="18" s="1"/>
  <c r="B178" i="18"/>
  <c r="Z177" i="18"/>
  <c r="X177" i="18"/>
  <c r="N177" i="18"/>
  <c r="L177" i="18"/>
  <c r="B177" i="18"/>
  <c r="T176" i="18"/>
  <c r="P176" i="18"/>
  <c r="X176" i="18" s="1"/>
  <c r="Z176" i="18" s="1"/>
  <c r="H176" i="18"/>
  <c r="D176" i="18"/>
  <c r="L176" i="18" s="1"/>
  <c r="N176" i="18" s="1"/>
  <c r="B176" i="18"/>
  <c r="X175" i="18"/>
  <c r="Z175" i="18" s="1"/>
  <c r="L175" i="18"/>
  <c r="N175" i="18" s="1"/>
  <c r="B175" i="18"/>
  <c r="X174" i="18"/>
  <c r="Z174" i="18" s="1"/>
  <c r="L174" i="18"/>
  <c r="N174" i="18" s="1"/>
  <c r="B174" i="18"/>
  <c r="X173" i="18"/>
  <c r="Z173" i="18" s="1"/>
  <c r="T173" i="18"/>
  <c r="P173" i="18"/>
  <c r="H173" i="18"/>
  <c r="D173" i="18"/>
  <c r="B173" i="18"/>
  <c r="Z172" i="18"/>
  <c r="X172" i="18"/>
  <c r="N172" i="18"/>
  <c r="L172" i="18"/>
  <c r="B172" i="18"/>
  <c r="T171" i="18"/>
  <c r="P171" i="18"/>
  <c r="H171" i="18"/>
  <c r="D171" i="18"/>
  <c r="L171" i="18" s="1"/>
  <c r="N171" i="18" s="1"/>
  <c r="B171" i="18"/>
  <c r="X170" i="18"/>
  <c r="Z170" i="18" s="1"/>
  <c r="L170" i="18"/>
  <c r="N170" i="18" s="1"/>
  <c r="B170" i="18"/>
  <c r="Z169" i="18"/>
  <c r="X169" i="18"/>
  <c r="L169" i="18"/>
  <c r="N169" i="18" s="1"/>
  <c r="B169" i="18"/>
  <c r="T168" i="18"/>
  <c r="Z168" i="18" s="1"/>
  <c r="P168" i="18"/>
  <c r="X168" i="18" s="1"/>
  <c r="L168" i="18"/>
  <c r="N168" i="18" s="1"/>
  <c r="H168" i="18"/>
  <c r="D168" i="18"/>
  <c r="B168" i="18"/>
  <c r="X167" i="18"/>
  <c r="Z167" i="18" s="1"/>
  <c r="L167" i="18"/>
  <c r="N167" i="18" s="1"/>
  <c r="B167" i="18"/>
  <c r="X166" i="18"/>
  <c r="Z166" i="18" s="1"/>
  <c r="T166" i="18"/>
  <c r="P166" i="18"/>
  <c r="H166" i="18"/>
  <c r="D166" i="18"/>
  <c r="L166" i="18" s="1"/>
  <c r="N166" i="18" s="1"/>
  <c r="B166" i="18"/>
  <c r="X165" i="18"/>
  <c r="Z165" i="18" s="1"/>
  <c r="N165" i="18"/>
  <c r="L165" i="18"/>
  <c r="B165" i="18"/>
  <c r="Z164" i="18"/>
  <c r="X164" i="18"/>
  <c r="N164" i="18"/>
  <c r="L164" i="18"/>
  <c r="B164" i="18"/>
  <c r="X163" i="18"/>
  <c r="Z163" i="18" s="1"/>
  <c r="N163" i="18"/>
  <c r="L163" i="18"/>
  <c r="B163" i="18"/>
  <c r="X162" i="18"/>
  <c r="Z162" i="18" s="1"/>
  <c r="L162" i="18"/>
  <c r="N162" i="18" s="1"/>
  <c r="B162" i="18"/>
  <c r="Z161" i="18"/>
  <c r="X161" i="18"/>
  <c r="L161" i="18"/>
  <c r="N161" i="18" s="1"/>
  <c r="B161" i="18"/>
  <c r="Z160" i="18"/>
  <c r="X160" i="18"/>
  <c r="N160" i="18"/>
  <c r="L160" i="18"/>
  <c r="B160" i="18"/>
  <c r="X159" i="18"/>
  <c r="Z159" i="18" s="1"/>
  <c r="L159" i="18"/>
  <c r="N159" i="18" s="1"/>
  <c r="B159" i="18"/>
  <c r="T158" i="18"/>
  <c r="P158" i="18"/>
  <c r="X158" i="18" s="1"/>
  <c r="Z158" i="18" s="1"/>
  <c r="H158" i="18"/>
  <c r="D158" i="18"/>
  <c r="L158" i="18" s="1"/>
  <c r="B158" i="18"/>
  <c r="Z157" i="18"/>
  <c r="X157" i="18"/>
  <c r="L157" i="18"/>
  <c r="N157" i="18" s="1"/>
  <c r="B157" i="18"/>
  <c r="Z156" i="18"/>
  <c r="X156" i="18"/>
  <c r="N156" i="18"/>
  <c r="L156" i="18"/>
  <c r="B156" i="18"/>
  <c r="X155" i="18"/>
  <c r="Z155" i="18" s="1"/>
  <c r="L155" i="18"/>
  <c r="N155" i="18" s="1"/>
  <c r="B155" i="18"/>
  <c r="X154" i="18"/>
  <c r="Z154" i="18" s="1"/>
  <c r="L154" i="18"/>
  <c r="N154" i="18" s="1"/>
  <c r="B154" i="18"/>
  <c r="Z153" i="18"/>
  <c r="X153" i="18"/>
  <c r="N153" i="18"/>
  <c r="L153" i="18"/>
  <c r="B153" i="18"/>
  <c r="Z152" i="18"/>
  <c r="X152" i="18"/>
  <c r="N152" i="18"/>
  <c r="L152" i="18"/>
  <c r="B152" i="18"/>
  <c r="X151" i="18"/>
  <c r="Z151" i="18" s="1"/>
  <c r="L151" i="18"/>
  <c r="N151" i="18" s="1"/>
  <c r="B151" i="18"/>
  <c r="X150" i="18"/>
  <c r="Z150" i="18" s="1"/>
  <c r="L150" i="18"/>
  <c r="N150" i="18" s="1"/>
  <c r="B150" i="18"/>
  <c r="Z149" i="18"/>
  <c r="X149" i="18"/>
  <c r="L149" i="18"/>
  <c r="N149" i="18" s="1"/>
  <c r="B149" i="18"/>
  <c r="Z148" i="18"/>
  <c r="X148" i="18"/>
  <c r="N148" i="18"/>
  <c r="L148" i="18"/>
  <c r="B148" i="18"/>
  <c r="T147" i="18"/>
  <c r="P147" i="18"/>
  <c r="H147" i="18"/>
  <c r="D147" i="18"/>
  <c r="L147" i="18" s="1"/>
  <c r="N147" i="18" s="1"/>
  <c r="B147" i="18"/>
  <c r="X146" i="18"/>
  <c r="Z146" i="18" s="1"/>
  <c r="T146" i="18"/>
  <c r="P146" i="18"/>
  <c r="H146" i="18"/>
  <c r="D146" i="18"/>
  <c r="L146" i="18" s="1"/>
  <c r="N146" i="18" s="1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X139" i="18"/>
  <c r="Z139" i="18" s="1"/>
  <c r="N139" i="18"/>
  <c r="L139" i="18"/>
  <c r="B139" i="18"/>
  <c r="X138" i="18"/>
  <c r="Z138" i="18" s="1"/>
  <c r="N138" i="18"/>
  <c r="L138" i="18"/>
  <c r="B138" i="18"/>
  <c r="X137" i="18"/>
  <c r="Z137" i="18" s="1"/>
  <c r="N137" i="18"/>
  <c r="L137" i="18"/>
  <c r="B137" i="18"/>
  <c r="Z136" i="18"/>
  <c r="X136" i="18"/>
  <c r="N136" i="18"/>
  <c r="L136" i="18"/>
  <c r="B136" i="18"/>
  <c r="X135" i="18"/>
  <c r="Z135" i="18" s="1"/>
  <c r="L135" i="18"/>
  <c r="N135" i="18" s="1"/>
  <c r="B135" i="18"/>
  <c r="X134" i="18"/>
  <c r="Z134" i="18" s="1"/>
  <c r="L134" i="18"/>
  <c r="N134" i="18" s="1"/>
  <c r="B134" i="18"/>
  <c r="Z133" i="18"/>
  <c r="X133" i="18"/>
  <c r="L133" i="18"/>
  <c r="N133" i="18" s="1"/>
  <c r="B133" i="18"/>
  <c r="Z132" i="18"/>
  <c r="X132" i="18"/>
  <c r="N132" i="18"/>
  <c r="L132" i="18"/>
  <c r="B132" i="18"/>
  <c r="X131" i="18"/>
  <c r="Z131" i="18" s="1"/>
  <c r="L131" i="18"/>
  <c r="N131" i="18" s="1"/>
  <c r="B131" i="18"/>
  <c r="X130" i="18"/>
  <c r="Z130" i="18" s="1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X126" i="18"/>
  <c r="Z126" i="18" s="1"/>
  <c r="L126" i="18"/>
  <c r="N126" i="18" s="1"/>
  <c r="B126" i="18"/>
  <c r="Z125" i="18"/>
  <c r="X125" i="18"/>
  <c r="N125" i="18"/>
  <c r="L125" i="18"/>
  <c r="B125" i="18"/>
  <c r="Z124" i="18"/>
  <c r="X124" i="18"/>
  <c r="N124" i="18"/>
  <c r="L124" i="18"/>
  <c r="B124" i="18"/>
  <c r="X123" i="18"/>
  <c r="Z123" i="18" s="1"/>
  <c r="L123" i="18"/>
  <c r="N123" i="18" s="1"/>
  <c r="B123" i="18"/>
  <c r="Z122" i="18"/>
  <c r="X122" i="18"/>
  <c r="N122" i="18"/>
  <c r="L122" i="18"/>
  <c r="B122" i="18"/>
  <c r="X121" i="18"/>
  <c r="Z121" i="18" s="1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X118" i="18"/>
  <c r="Z118" i="18" s="1"/>
  <c r="L118" i="18"/>
  <c r="N118" i="18" s="1"/>
  <c r="B118" i="18"/>
  <c r="Z117" i="18"/>
  <c r="X117" i="18"/>
  <c r="L117" i="18"/>
  <c r="N117" i="18" s="1"/>
  <c r="B117" i="18"/>
  <c r="Z116" i="18"/>
  <c r="X116" i="18"/>
  <c r="N116" i="18"/>
  <c r="L116" i="18"/>
  <c r="B116" i="18"/>
  <c r="X115" i="18"/>
  <c r="Z115" i="18" s="1"/>
  <c r="L115" i="18"/>
  <c r="N115" i="18" s="1"/>
  <c r="B115" i="18"/>
  <c r="X114" i="18"/>
  <c r="Z114" i="18" s="1"/>
  <c r="L114" i="18"/>
  <c r="N114" i="18" s="1"/>
  <c r="B114" i="18"/>
  <c r="X113" i="18"/>
  <c r="Z113" i="18" s="1"/>
  <c r="N113" i="18"/>
  <c r="L113" i="18"/>
  <c r="B113" i="18"/>
  <c r="Z112" i="18"/>
  <c r="X112" i="18"/>
  <c r="N112" i="18"/>
  <c r="L112" i="18"/>
  <c r="B112" i="18"/>
  <c r="X111" i="18"/>
  <c r="Z111" i="18" s="1"/>
  <c r="L111" i="18"/>
  <c r="N111" i="18" s="1"/>
  <c r="B111" i="18"/>
  <c r="X110" i="18"/>
  <c r="Z110" i="18" s="1"/>
  <c r="L110" i="18"/>
  <c r="N110" i="18" s="1"/>
  <c r="B110" i="18"/>
  <c r="Z109" i="18"/>
  <c r="X109" i="18"/>
  <c r="L109" i="18"/>
  <c r="N109" i="18" s="1"/>
  <c r="B109" i="18"/>
  <c r="Z108" i="18"/>
  <c r="X108" i="18"/>
  <c r="N108" i="18"/>
  <c r="L108" i="18"/>
  <c r="B108" i="18"/>
  <c r="X107" i="18"/>
  <c r="Z107" i="18" s="1"/>
  <c r="L107" i="18"/>
  <c r="N107" i="18" s="1"/>
  <c r="B107" i="18"/>
  <c r="X106" i="18"/>
  <c r="Z106" i="18" s="1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X103" i="18"/>
  <c r="Z103" i="18" s="1"/>
  <c r="N103" i="18"/>
  <c r="L103" i="18"/>
  <c r="B103" i="18"/>
  <c r="X102" i="18"/>
  <c r="Z102" i="18" s="1"/>
  <c r="L102" i="18"/>
  <c r="N102" i="18" s="1"/>
  <c r="B102" i="18"/>
  <c r="Z101" i="18"/>
  <c r="X101" i="18"/>
  <c r="N101" i="18"/>
  <c r="L101" i="18"/>
  <c r="B101" i="18"/>
  <c r="Z100" i="18"/>
  <c r="X100" i="18"/>
  <c r="N100" i="18"/>
  <c r="L100" i="18"/>
  <c r="B100" i="18"/>
  <c r="X99" i="18"/>
  <c r="Z99" i="18" s="1"/>
  <c r="N99" i="18"/>
  <c r="L99" i="18"/>
  <c r="B99" i="18"/>
  <c r="X98" i="18"/>
  <c r="Z98" i="18" s="1"/>
  <c r="L98" i="18"/>
  <c r="N98" i="18" s="1"/>
  <c r="B98" i="18"/>
  <c r="Z97" i="18"/>
  <c r="X97" i="18"/>
  <c r="N97" i="18"/>
  <c r="L97" i="18"/>
  <c r="B97" i="18"/>
  <c r="Z96" i="18"/>
  <c r="X96" i="18"/>
  <c r="N96" i="18"/>
  <c r="L96" i="18"/>
  <c r="B96" i="18"/>
  <c r="X95" i="18"/>
  <c r="Z95" i="18" s="1"/>
  <c r="L95" i="18"/>
  <c r="N95" i="18" s="1"/>
  <c r="B95" i="18"/>
  <c r="Z94" i="18"/>
  <c r="X94" i="18"/>
  <c r="N94" i="18"/>
  <c r="L94" i="18"/>
  <c r="B94" i="18"/>
  <c r="Z93" i="18"/>
  <c r="T93" i="18"/>
  <c r="P93" i="18"/>
  <c r="X93" i="18" s="1"/>
  <c r="H93" i="18"/>
  <c r="D93" i="18"/>
  <c r="L93" i="18" s="1"/>
  <c r="Z91" i="18"/>
  <c r="X91" i="18"/>
  <c r="T91" i="18"/>
  <c r="P91" i="18"/>
  <c r="N91" i="18"/>
  <c r="L91" i="18"/>
  <c r="H91" i="18"/>
  <c r="D91" i="18"/>
  <c r="B91" i="18"/>
  <c r="Z90" i="18"/>
  <c r="T90" i="18"/>
  <c r="P90" i="18"/>
  <c r="X90" i="18" s="1"/>
  <c r="N90" i="18"/>
  <c r="H90" i="18"/>
  <c r="D90" i="18"/>
  <c r="L90" i="18" s="1"/>
  <c r="B90" i="18"/>
  <c r="T89" i="18"/>
  <c r="P89" i="18"/>
  <c r="X89" i="18" s="1"/>
  <c r="H89" i="18"/>
  <c r="N89" i="18" s="1"/>
  <c r="D89" i="18"/>
  <c r="L89" i="18" s="1"/>
  <c r="B89" i="18"/>
  <c r="X88" i="18"/>
  <c r="T88" i="18"/>
  <c r="P88" i="18"/>
  <c r="H88" i="18"/>
  <c r="D88" i="18"/>
  <c r="B88" i="18"/>
  <c r="X87" i="18"/>
  <c r="Z87" i="18" s="1"/>
  <c r="T87" i="18"/>
  <c r="P87" i="18"/>
  <c r="L87" i="18"/>
  <c r="N87" i="18" s="1"/>
  <c r="H87" i="18"/>
  <c r="D87" i="18"/>
  <c r="B87" i="18"/>
  <c r="T86" i="18"/>
  <c r="P86" i="18"/>
  <c r="X86" i="18" s="1"/>
  <c r="Z86" i="18" s="1"/>
  <c r="N86" i="18"/>
  <c r="H86" i="18"/>
  <c r="D86" i="18"/>
  <c r="L86" i="18" s="1"/>
  <c r="B86" i="18"/>
  <c r="T85" i="18"/>
  <c r="P85" i="18"/>
  <c r="X85" i="18" s="1"/>
  <c r="H85" i="18"/>
  <c r="D85" i="18"/>
  <c r="L85" i="18" s="1"/>
  <c r="B85" i="18"/>
  <c r="X84" i="18"/>
  <c r="T84" i="18"/>
  <c r="P84" i="18"/>
  <c r="H84" i="18"/>
  <c r="L84" i="18" s="1"/>
  <c r="D84" i="18"/>
  <c r="B84" i="18"/>
  <c r="Z83" i="18"/>
  <c r="X83" i="18"/>
  <c r="T83" i="18"/>
  <c r="P83" i="18"/>
  <c r="N83" i="18"/>
  <c r="L83" i="18"/>
  <c r="H83" i="18"/>
  <c r="D83" i="18"/>
  <c r="B83" i="18"/>
  <c r="Z82" i="18"/>
  <c r="T82" i="18"/>
  <c r="P82" i="18"/>
  <c r="X82" i="18" s="1"/>
  <c r="N82" i="18"/>
  <c r="H82" i="18"/>
  <c r="D82" i="18"/>
  <c r="L82" i="18" s="1"/>
  <c r="B82" i="18"/>
  <c r="T81" i="18"/>
  <c r="P81" i="18"/>
  <c r="X81" i="18" s="1"/>
  <c r="H81" i="18"/>
  <c r="N81" i="18" s="1"/>
  <c r="D81" i="18"/>
  <c r="L81" i="18" s="1"/>
  <c r="B81" i="18"/>
  <c r="X80" i="18"/>
  <c r="T80" i="18"/>
  <c r="P80" i="18"/>
  <c r="H80" i="18"/>
  <c r="D80" i="18"/>
  <c r="B80" i="18"/>
  <c r="X79" i="18"/>
  <c r="Z79" i="18" s="1"/>
  <c r="T79" i="18"/>
  <c r="P79" i="18"/>
  <c r="L79" i="18"/>
  <c r="N79" i="18" s="1"/>
  <c r="H79" i="18"/>
  <c r="D79" i="18"/>
  <c r="B79" i="18"/>
  <c r="T78" i="18"/>
  <c r="P78" i="18"/>
  <c r="X78" i="18" s="1"/>
  <c r="Z78" i="18" s="1"/>
  <c r="N78" i="18"/>
  <c r="H78" i="18"/>
  <c r="D78" i="18"/>
  <c r="L78" i="18" s="1"/>
  <c r="B78" i="18"/>
  <c r="T77" i="18"/>
  <c r="X77" i="18" s="1"/>
  <c r="P77" i="18"/>
  <c r="H77" i="18"/>
  <c r="N77" i="18" s="1"/>
  <c r="D77" i="18"/>
  <c r="B77" i="18"/>
  <c r="X76" i="18"/>
  <c r="T76" i="18"/>
  <c r="Z76" i="18" s="1"/>
  <c r="P76" i="18"/>
  <c r="H76" i="18"/>
  <c r="D76" i="18"/>
  <c r="B76" i="18"/>
  <c r="X75" i="18"/>
  <c r="Z75" i="18" s="1"/>
  <c r="T75" i="18"/>
  <c r="P75" i="18"/>
  <c r="H75" i="18"/>
  <c r="D75" i="18"/>
  <c r="L75" i="18" s="1"/>
  <c r="N75" i="18" s="1"/>
  <c r="B75" i="18"/>
  <c r="T74" i="18"/>
  <c r="P74" i="18"/>
  <c r="X74" i="18" s="1"/>
  <c r="Z74" i="18" s="1"/>
  <c r="H74" i="18"/>
  <c r="D74" i="18"/>
  <c r="B74" i="18"/>
  <c r="T73" i="18"/>
  <c r="P73" i="18"/>
  <c r="X73" i="18" s="1"/>
  <c r="H73" i="18"/>
  <c r="L73" i="18" s="1"/>
  <c r="D73" i="18"/>
  <c r="B73" i="18"/>
  <c r="T72" i="18"/>
  <c r="P72" i="18"/>
  <c r="H72" i="18"/>
  <c r="D72" i="18"/>
  <c r="B72" i="18"/>
  <c r="X71" i="18"/>
  <c r="Z71" i="18" s="1"/>
  <c r="T71" i="18"/>
  <c r="P71" i="18"/>
  <c r="L71" i="18"/>
  <c r="N71" i="18" s="1"/>
  <c r="H71" i="18"/>
  <c r="D71" i="18"/>
  <c r="B71" i="18"/>
  <c r="Z70" i="18"/>
  <c r="T70" i="18"/>
  <c r="P70" i="18"/>
  <c r="X70" i="18" s="1"/>
  <c r="N70" i="18"/>
  <c r="H70" i="18"/>
  <c r="D70" i="18"/>
  <c r="L70" i="18" s="1"/>
  <c r="B70" i="18"/>
  <c r="T69" i="18"/>
  <c r="P69" i="18"/>
  <c r="H69" i="18"/>
  <c r="N69" i="18" s="1"/>
  <c r="D69" i="18"/>
  <c r="B69" i="18"/>
  <c r="X68" i="18"/>
  <c r="T68" i="18"/>
  <c r="Z68" i="18" s="1"/>
  <c r="P68" i="18"/>
  <c r="H68" i="18"/>
  <c r="N68" i="18" s="1"/>
  <c r="D68" i="18"/>
  <c r="B68" i="18"/>
  <c r="X67" i="18"/>
  <c r="Z67" i="18" s="1"/>
  <c r="T67" i="18"/>
  <c r="P67" i="18"/>
  <c r="H67" i="18"/>
  <c r="D67" i="18"/>
  <c r="L67" i="18" s="1"/>
  <c r="N67" i="18" s="1"/>
  <c r="B67" i="18"/>
  <c r="T66" i="18"/>
  <c r="P66" i="18"/>
  <c r="X66" i="18" s="1"/>
  <c r="Z66" i="18" s="1"/>
  <c r="H66" i="18"/>
  <c r="D66" i="18"/>
  <c r="B66" i="18"/>
  <c r="T65" i="18"/>
  <c r="Z65" i="18" s="1"/>
  <c r="P65" i="18"/>
  <c r="X65" i="18" s="1"/>
  <c r="H65" i="18"/>
  <c r="D65" i="18"/>
  <c r="B65" i="18"/>
  <c r="T64" i="18"/>
  <c r="X64" i="18" s="1"/>
  <c r="P64" i="18"/>
  <c r="H64" i="18"/>
  <c r="D64" i="18"/>
  <c r="B64" i="18"/>
  <c r="T63" i="18"/>
  <c r="P63" i="18"/>
  <c r="X63" i="18" s="1"/>
  <c r="Z63" i="18" s="1"/>
  <c r="L63" i="18"/>
  <c r="N63" i="18" s="1"/>
  <c r="H63" i="18"/>
  <c r="D63" i="18"/>
  <c r="B63" i="18"/>
  <c r="T62" i="18"/>
  <c r="P62" i="18"/>
  <c r="X62" i="18" s="1"/>
  <c r="Z62" i="18" s="1"/>
  <c r="N62" i="18"/>
  <c r="H62" i="18"/>
  <c r="D62" i="18"/>
  <c r="L62" i="18" s="1"/>
  <c r="B62" i="18"/>
  <c r="T61" i="18"/>
  <c r="X61" i="18" s="1"/>
  <c r="P61" i="18"/>
  <c r="H61" i="18"/>
  <c r="D61" i="18"/>
  <c r="B61" i="18"/>
  <c r="X60" i="18"/>
  <c r="T60" i="18"/>
  <c r="Z60" i="18" s="1"/>
  <c r="P60" i="18"/>
  <c r="H60" i="18"/>
  <c r="D60" i="18"/>
  <c r="B60" i="18"/>
  <c r="X59" i="18"/>
  <c r="Z59" i="18" s="1"/>
  <c r="T59" i="18"/>
  <c r="P59" i="18"/>
  <c r="H59" i="18"/>
  <c r="D59" i="18"/>
  <c r="L59" i="18" s="1"/>
  <c r="N59" i="18" s="1"/>
  <c r="B59" i="18"/>
  <c r="T58" i="18"/>
  <c r="P58" i="18"/>
  <c r="X58" i="18" s="1"/>
  <c r="Z58" i="18" s="1"/>
  <c r="H58" i="18"/>
  <c r="D58" i="18"/>
  <c r="B58" i="18"/>
  <c r="T57" i="18"/>
  <c r="P57" i="18"/>
  <c r="X57" i="18" s="1"/>
  <c r="H57" i="18"/>
  <c r="L57" i="18" s="1"/>
  <c r="D57" i="18"/>
  <c r="B57" i="18"/>
  <c r="T56" i="18"/>
  <c r="P56" i="18"/>
  <c r="H56" i="18"/>
  <c r="D56" i="18"/>
  <c r="B56" i="18"/>
  <c r="X55" i="18"/>
  <c r="Z55" i="18" s="1"/>
  <c r="T55" i="18"/>
  <c r="P55" i="18"/>
  <c r="L55" i="18"/>
  <c r="N55" i="18" s="1"/>
  <c r="H55" i="18"/>
  <c r="D55" i="18"/>
  <c r="B55" i="18"/>
  <c r="Z54" i="18"/>
  <c r="T54" i="18"/>
  <c r="P54" i="18"/>
  <c r="X54" i="18" s="1"/>
  <c r="N54" i="18"/>
  <c r="H54" i="18"/>
  <c r="D54" i="18"/>
  <c r="L54" i="18" s="1"/>
  <c r="B54" i="18"/>
  <c r="X53" i="18"/>
  <c r="Z53" i="18" s="1"/>
  <c r="T53" i="18"/>
  <c r="P53" i="18"/>
  <c r="H53" i="18"/>
  <c r="D53" i="18"/>
  <c r="L53" i="18" s="1"/>
  <c r="B53" i="18"/>
  <c r="T52" i="18"/>
  <c r="P52" i="18"/>
  <c r="H52" i="18"/>
  <c r="D52" i="18"/>
  <c r="L52" i="18" s="1"/>
  <c r="B52" i="18"/>
  <c r="Z51" i="18"/>
  <c r="X51" i="18"/>
  <c r="T51" i="18"/>
  <c r="P51" i="18"/>
  <c r="H51" i="18"/>
  <c r="N51" i="18" s="1"/>
  <c r="D51" i="18"/>
  <c r="B51" i="18"/>
  <c r="Z50" i="18"/>
  <c r="T50" i="18"/>
  <c r="P50" i="18"/>
  <c r="X50" i="18" s="1"/>
  <c r="H50" i="18"/>
  <c r="N50" i="18" s="1"/>
  <c r="D50" i="18"/>
  <c r="B50" i="18"/>
  <c r="T49" i="18"/>
  <c r="P49" i="18"/>
  <c r="X49" i="18" s="1"/>
  <c r="H49" i="18"/>
  <c r="N49" i="18" s="1"/>
  <c r="D49" i="18"/>
  <c r="L49" i="18" s="1"/>
  <c r="B49" i="18"/>
  <c r="T48" i="18"/>
  <c r="P48" i="18"/>
  <c r="X48" i="18" s="1"/>
  <c r="L48" i="18"/>
  <c r="H48" i="18"/>
  <c r="N48" i="18" s="1"/>
  <c r="D48" i="18"/>
  <c r="B48" i="18"/>
  <c r="T47" i="18"/>
  <c r="P47" i="18"/>
  <c r="N47" i="18"/>
  <c r="L47" i="18"/>
  <c r="H47" i="18"/>
  <c r="D47" i="18"/>
  <c r="B47" i="18"/>
  <c r="X46" i="18"/>
  <c r="Z46" i="18" s="1"/>
  <c r="T46" i="18"/>
  <c r="P46" i="18"/>
  <c r="H46" i="18"/>
  <c r="D46" i="18"/>
  <c r="B46" i="18"/>
  <c r="X45" i="18"/>
  <c r="Z45" i="18" s="1"/>
  <c r="T45" i="18"/>
  <c r="P45" i="18"/>
  <c r="H45" i="18"/>
  <c r="L45" i="18" s="1"/>
  <c r="D45" i="18"/>
  <c r="B45" i="18"/>
  <c r="X44" i="18"/>
  <c r="Z44" i="18" s="1"/>
  <c r="T44" i="18"/>
  <c r="P44" i="18"/>
  <c r="N44" i="18"/>
  <c r="H44" i="18"/>
  <c r="D44" i="18"/>
  <c r="L44" i="18" s="1"/>
  <c r="B44" i="18"/>
  <c r="T43" i="18"/>
  <c r="P43" i="18"/>
  <c r="X43" i="18" s="1"/>
  <c r="Z43" i="18" s="1"/>
  <c r="H43" i="18"/>
  <c r="N43" i="18" s="1"/>
  <c r="D43" i="18"/>
  <c r="L43" i="18" s="1"/>
  <c r="B43" i="18"/>
  <c r="T42" i="18"/>
  <c r="P42" i="18"/>
  <c r="H42" i="18"/>
  <c r="D42" i="18"/>
  <c r="L42" i="18" s="1"/>
  <c r="B42" i="18"/>
  <c r="T41" i="18"/>
  <c r="P41" i="18"/>
  <c r="X41" i="18" s="1"/>
  <c r="H41" i="18"/>
  <c r="D41" i="18"/>
  <c r="L41" i="18" s="1"/>
  <c r="B41" i="18"/>
  <c r="T40" i="18"/>
  <c r="P40" i="18"/>
  <c r="X40" i="18" s="1"/>
  <c r="H40" i="18"/>
  <c r="N40" i="18" s="1"/>
  <c r="D40" i="18"/>
  <c r="L40" i="18" s="1"/>
  <c r="B40" i="18"/>
  <c r="T39" i="18"/>
  <c r="P39" i="18"/>
  <c r="H39" i="18"/>
  <c r="D39" i="18"/>
  <c r="B39" i="18"/>
  <c r="T38" i="18"/>
  <c r="P38" i="18"/>
  <c r="X38" i="18" s="1"/>
  <c r="Z38" i="18" s="1"/>
  <c r="L38" i="18"/>
  <c r="N38" i="18" s="1"/>
  <c r="H38" i="18"/>
  <c r="D38" i="18"/>
  <c r="B38" i="18"/>
  <c r="T37" i="18"/>
  <c r="P37" i="18"/>
  <c r="X37" i="18" s="1"/>
  <c r="N37" i="18"/>
  <c r="H37" i="18"/>
  <c r="D37" i="18"/>
  <c r="L37" i="18" s="1"/>
  <c r="B37" i="18"/>
  <c r="T36" i="18"/>
  <c r="Z36" i="18" s="1"/>
  <c r="P36" i="18"/>
  <c r="X36" i="18" s="1"/>
  <c r="H36" i="18"/>
  <c r="D36" i="18"/>
  <c r="L36" i="18" s="1"/>
  <c r="B36" i="18"/>
  <c r="T35" i="18"/>
  <c r="P35" i="18"/>
  <c r="H35" i="18"/>
  <c r="D35" i="18"/>
  <c r="B35" i="18"/>
  <c r="X34" i="18"/>
  <c r="Z34" i="18" s="1"/>
  <c r="T34" i="18"/>
  <c r="P34" i="18"/>
  <c r="H34" i="18"/>
  <c r="D34" i="18"/>
  <c r="L34" i="18" s="1"/>
  <c r="N34" i="18" s="1"/>
  <c r="B34" i="18"/>
  <c r="Z33" i="18"/>
  <c r="T33" i="18"/>
  <c r="P33" i="18"/>
  <c r="X33" i="18" s="1"/>
  <c r="H33" i="18"/>
  <c r="D33" i="18"/>
  <c r="L33" i="18" s="1"/>
  <c r="B33" i="18"/>
  <c r="T32" i="18"/>
  <c r="Z32" i="18" s="1"/>
  <c r="P32" i="18"/>
  <c r="X32" i="18" s="1"/>
  <c r="H32" i="18"/>
  <c r="N32" i="18" s="1"/>
  <c r="D32" i="18"/>
  <c r="L32" i="18" s="1"/>
  <c r="B32" i="18"/>
  <c r="T31" i="18"/>
  <c r="P31" i="18"/>
  <c r="H31" i="18"/>
  <c r="D31" i="18"/>
  <c r="B31" i="18"/>
  <c r="T30" i="18"/>
  <c r="P30" i="18"/>
  <c r="X30" i="18" s="1"/>
  <c r="Z30" i="18" s="1"/>
  <c r="L30" i="18"/>
  <c r="N30" i="18" s="1"/>
  <c r="H30" i="18"/>
  <c r="D30" i="18"/>
  <c r="B30" i="18"/>
  <c r="T29" i="18"/>
  <c r="Z29" i="18" s="1"/>
  <c r="P29" i="18"/>
  <c r="X29" i="18" s="1"/>
  <c r="N29" i="18"/>
  <c r="H29" i="18"/>
  <c r="D29" i="18"/>
  <c r="L29" i="18" s="1"/>
  <c r="B29" i="18"/>
  <c r="T28" i="18"/>
  <c r="P28" i="18"/>
  <c r="X28" i="18" s="1"/>
  <c r="H28" i="18"/>
  <c r="N28" i="18" s="1"/>
  <c r="D28" i="18"/>
  <c r="L28" i="18" s="1"/>
  <c r="B28" i="18"/>
  <c r="T27" i="18"/>
  <c r="P27" i="18"/>
  <c r="H27" i="18"/>
  <c r="D27" i="18"/>
  <c r="B27" i="18"/>
  <c r="X26" i="18"/>
  <c r="Z26" i="18" s="1"/>
  <c r="T26" i="18"/>
  <c r="P26" i="18"/>
  <c r="H26" i="18"/>
  <c r="D26" i="18"/>
  <c r="L26" i="18" s="1"/>
  <c r="N26" i="18" s="1"/>
  <c r="B26" i="18"/>
  <c r="Z25" i="18"/>
  <c r="T25" i="18"/>
  <c r="P25" i="18"/>
  <c r="X25" i="18" s="1"/>
  <c r="H25" i="18"/>
  <c r="N25" i="18" s="1"/>
  <c r="D25" i="18"/>
  <c r="L25" i="18" s="1"/>
  <c r="B25" i="18"/>
  <c r="T24" i="18"/>
  <c r="P24" i="18"/>
  <c r="X24" i="18" s="1"/>
  <c r="H24" i="18"/>
  <c r="D24" i="18"/>
  <c r="L24" i="18" s="1"/>
  <c r="B24" i="18"/>
  <c r="T23" i="18"/>
  <c r="P23" i="18"/>
  <c r="H23" i="18"/>
  <c r="D23" i="18"/>
  <c r="B23" i="18"/>
  <c r="T22" i="18"/>
  <c r="P22" i="18"/>
  <c r="X22" i="18" s="1"/>
  <c r="Z22" i="18" s="1"/>
  <c r="L22" i="18"/>
  <c r="N22" i="18" s="1"/>
  <c r="H22" i="18"/>
  <c r="D22" i="18"/>
  <c r="B22" i="18"/>
  <c r="T21" i="18"/>
  <c r="P21" i="18"/>
  <c r="X21" i="18" s="1"/>
  <c r="N21" i="18"/>
  <c r="H21" i="18"/>
  <c r="D21" i="18"/>
  <c r="L21" i="18" s="1"/>
  <c r="B21" i="18"/>
  <c r="T20" i="18"/>
  <c r="Z20" i="18" s="1"/>
  <c r="P20" i="18"/>
  <c r="X20" i="18" s="1"/>
  <c r="H20" i="18"/>
  <c r="D20" i="18"/>
  <c r="L20" i="18" s="1"/>
  <c r="B20" i="18"/>
  <c r="T19" i="18"/>
  <c r="P19" i="18"/>
  <c r="H19" i="18"/>
  <c r="D19" i="18"/>
  <c r="B19" i="18"/>
  <c r="X18" i="18"/>
  <c r="Z18" i="18" s="1"/>
  <c r="T18" i="18"/>
  <c r="P18" i="18"/>
  <c r="H18" i="18"/>
  <c r="D18" i="18"/>
  <c r="L18" i="18" s="1"/>
  <c r="N18" i="18" s="1"/>
  <c r="B18" i="18"/>
  <c r="Z17" i="18"/>
  <c r="T17" i="18"/>
  <c r="P17" i="18"/>
  <c r="X17" i="18" s="1"/>
  <c r="H17" i="18"/>
  <c r="D17" i="18"/>
  <c r="L17" i="18" s="1"/>
  <c r="B17" i="18"/>
  <c r="T16" i="18"/>
  <c r="Z16" i="18" s="1"/>
  <c r="P16" i="18"/>
  <c r="X16" i="18" s="1"/>
  <c r="H16" i="18"/>
  <c r="D16" i="18"/>
  <c r="B16" i="18"/>
  <c r="T15" i="18"/>
  <c r="P15" i="18"/>
  <c r="H15" i="18"/>
  <c r="D15" i="18"/>
  <c r="B15" i="18"/>
  <c r="T14" i="18"/>
  <c r="P14" i="18"/>
  <c r="X14" i="18" s="1"/>
  <c r="Z14" i="18" s="1"/>
  <c r="L14" i="18"/>
  <c r="N14" i="18" s="1"/>
  <c r="H14" i="18"/>
  <c r="D14" i="18"/>
  <c r="B14" i="18"/>
  <c r="T13" i="18"/>
  <c r="Z13" i="18" s="1"/>
  <c r="P13" i="18"/>
  <c r="X13" i="18" s="1"/>
  <c r="N13" i="18"/>
  <c r="H13" i="18"/>
  <c r="D13" i="18"/>
  <c r="L13" i="18" s="1"/>
  <c r="B13" i="18"/>
  <c r="P12" i="18"/>
  <c r="R224" i="18" s="1"/>
  <c r="D4" i="18"/>
  <c r="B39" i="17"/>
  <c r="B38" i="17"/>
  <c r="T34" i="17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0" i="17" s="1"/>
  <c r="P12" i="17"/>
  <c r="R34" i="17" s="1"/>
  <c r="H12" i="17"/>
  <c r="J36" i="17" s="1"/>
  <c r="D12" i="17"/>
  <c r="F20" i="17" s="1"/>
  <c r="D5" i="17"/>
  <c r="D4" i="17"/>
  <c r="B39" i="16"/>
  <c r="B38" i="16"/>
  <c r="T34" i="16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D21" i="16"/>
  <c r="B21" i="16"/>
  <c r="T20" i="16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P12" i="16"/>
  <c r="R16" i="16" s="1"/>
  <c r="H12" i="16"/>
  <c r="D12" i="16"/>
  <c r="F33" i="16" s="1"/>
  <c r="D5" i="16"/>
  <c r="D4" i="16"/>
  <c r="Z221" i="15"/>
  <c r="X221" i="15"/>
  <c r="N221" i="15"/>
  <c r="L221" i="15"/>
  <c r="T217" i="15"/>
  <c r="X217" i="15" s="1"/>
  <c r="Z217" i="15" s="1"/>
  <c r="P217" i="15"/>
  <c r="N217" i="15"/>
  <c r="H217" i="15"/>
  <c r="D217" i="15"/>
  <c r="L217" i="15" s="1"/>
  <c r="B217" i="15"/>
  <c r="T216" i="15"/>
  <c r="P216" i="15"/>
  <c r="X216" i="15" s="1"/>
  <c r="L216" i="15"/>
  <c r="H216" i="15"/>
  <c r="D216" i="15"/>
  <c r="B216" i="15"/>
  <c r="Z215" i="15"/>
  <c r="X215" i="15"/>
  <c r="T215" i="15"/>
  <c r="P215" i="15"/>
  <c r="H215" i="15"/>
  <c r="L215" i="15" s="1"/>
  <c r="N215" i="15" s="1"/>
  <c r="D215" i="15"/>
  <c r="B215" i="15"/>
  <c r="T214" i="15"/>
  <c r="P214" i="15"/>
  <c r="H214" i="15"/>
  <c r="D214" i="15"/>
  <c r="L214" i="15" s="1"/>
  <c r="B214" i="15"/>
  <c r="Z211" i="15"/>
  <c r="X211" i="15"/>
  <c r="N211" i="15"/>
  <c r="L211" i="15"/>
  <c r="B211" i="15"/>
  <c r="T210" i="15"/>
  <c r="P210" i="15"/>
  <c r="H210" i="15"/>
  <c r="N210" i="15" s="1"/>
  <c r="D210" i="15"/>
  <c r="L210" i="15" s="1"/>
  <c r="B210" i="15"/>
  <c r="Z209" i="15"/>
  <c r="X209" i="15"/>
  <c r="N209" i="15"/>
  <c r="L209" i="15"/>
  <c r="B209" i="15"/>
  <c r="X208" i="15"/>
  <c r="Z208" i="15" s="1"/>
  <c r="L208" i="15"/>
  <c r="N208" i="15" s="1"/>
  <c r="B208" i="15"/>
  <c r="Z207" i="15"/>
  <c r="X207" i="15"/>
  <c r="N207" i="15"/>
  <c r="L207" i="15"/>
  <c r="B207" i="15"/>
  <c r="T206" i="15"/>
  <c r="P206" i="15"/>
  <c r="H206" i="15"/>
  <c r="D206" i="15"/>
  <c r="L206" i="15" s="1"/>
  <c r="B206" i="15"/>
  <c r="Z205" i="15"/>
  <c r="X205" i="15"/>
  <c r="N205" i="15"/>
  <c r="L205" i="15"/>
  <c r="B205" i="15"/>
  <c r="T204" i="15"/>
  <c r="P204" i="15"/>
  <c r="X204" i="15" s="1"/>
  <c r="H204" i="15"/>
  <c r="N204" i="15" s="1"/>
  <c r="D204" i="15"/>
  <c r="L204" i="15" s="1"/>
  <c r="B204" i="15"/>
  <c r="Z203" i="15"/>
  <c r="X203" i="15"/>
  <c r="N203" i="15"/>
  <c r="L203" i="15"/>
  <c r="B203" i="15"/>
  <c r="X202" i="15"/>
  <c r="Z202" i="15" s="1"/>
  <c r="L202" i="15"/>
  <c r="N202" i="15" s="1"/>
  <c r="B202" i="15"/>
  <c r="T201" i="15"/>
  <c r="P201" i="15"/>
  <c r="X201" i="15" s="1"/>
  <c r="Z201" i="15" s="1"/>
  <c r="H201" i="15"/>
  <c r="L201" i="15" s="1"/>
  <c r="N201" i="15" s="1"/>
  <c r="D201" i="15"/>
  <c r="B201" i="15"/>
  <c r="X200" i="15"/>
  <c r="Z200" i="15" s="1"/>
  <c r="L200" i="15"/>
  <c r="N200" i="15" s="1"/>
  <c r="B200" i="15"/>
  <c r="Z199" i="15"/>
  <c r="X199" i="15"/>
  <c r="N199" i="15"/>
  <c r="L199" i="15"/>
  <c r="B199" i="15"/>
  <c r="X198" i="15"/>
  <c r="Z198" i="15" s="1"/>
  <c r="L198" i="15"/>
  <c r="N198" i="15" s="1"/>
  <c r="B198" i="15"/>
  <c r="Z197" i="15"/>
  <c r="X197" i="15"/>
  <c r="N197" i="15"/>
  <c r="L197" i="15"/>
  <c r="B197" i="15"/>
  <c r="X196" i="15"/>
  <c r="Z196" i="15" s="1"/>
  <c r="L196" i="15"/>
  <c r="N196" i="15" s="1"/>
  <c r="B196" i="15"/>
  <c r="Z195" i="15"/>
  <c r="X195" i="15"/>
  <c r="N195" i="15"/>
  <c r="L195" i="15"/>
  <c r="B195" i="15"/>
  <c r="X194" i="15"/>
  <c r="Z194" i="15" s="1"/>
  <c r="L194" i="15"/>
  <c r="N194" i="15" s="1"/>
  <c r="B194" i="15"/>
  <c r="Z193" i="15"/>
  <c r="X193" i="15"/>
  <c r="T193" i="15"/>
  <c r="P193" i="15"/>
  <c r="H193" i="15"/>
  <c r="D193" i="15"/>
  <c r="L193" i="15" s="1"/>
  <c r="N193" i="15" s="1"/>
  <c r="B193" i="15"/>
  <c r="X192" i="15"/>
  <c r="Z192" i="15" s="1"/>
  <c r="L192" i="15"/>
  <c r="N192" i="15" s="1"/>
  <c r="B192" i="15"/>
  <c r="Z191" i="15"/>
  <c r="X191" i="15"/>
  <c r="N191" i="15"/>
  <c r="L191" i="15"/>
  <c r="B191" i="15"/>
  <c r="T190" i="15"/>
  <c r="P190" i="15"/>
  <c r="H190" i="15"/>
  <c r="N190" i="15" s="1"/>
  <c r="D190" i="15"/>
  <c r="L190" i="15" s="1"/>
  <c r="B190" i="15"/>
  <c r="Z189" i="15"/>
  <c r="X189" i="15"/>
  <c r="N189" i="15"/>
  <c r="L189" i="15"/>
  <c r="B189" i="15"/>
  <c r="X188" i="15"/>
  <c r="Z188" i="15" s="1"/>
  <c r="L188" i="15"/>
  <c r="N188" i="15" s="1"/>
  <c r="B188" i="15"/>
  <c r="Z187" i="15"/>
  <c r="X187" i="15"/>
  <c r="N187" i="15"/>
  <c r="L187" i="15"/>
  <c r="B187" i="15"/>
  <c r="X186" i="15"/>
  <c r="Z186" i="15" s="1"/>
  <c r="L186" i="15"/>
  <c r="N186" i="15" s="1"/>
  <c r="B186" i="15"/>
  <c r="T185" i="15"/>
  <c r="P185" i="15"/>
  <c r="X185" i="15" s="1"/>
  <c r="Z185" i="15" s="1"/>
  <c r="H185" i="15"/>
  <c r="D185" i="15"/>
  <c r="L185" i="15" s="1"/>
  <c r="N185" i="15" s="1"/>
  <c r="B185" i="15"/>
  <c r="X184" i="15"/>
  <c r="Z184" i="15" s="1"/>
  <c r="L184" i="15"/>
  <c r="N184" i="15" s="1"/>
  <c r="B184" i="15"/>
  <c r="Z183" i="15"/>
  <c r="X183" i="15"/>
  <c r="N183" i="15"/>
  <c r="L183" i="15"/>
  <c r="B183" i="15"/>
  <c r="X182" i="15"/>
  <c r="Z182" i="15" s="1"/>
  <c r="L182" i="15"/>
  <c r="N182" i="15" s="1"/>
  <c r="B182" i="15"/>
  <c r="T181" i="15"/>
  <c r="P181" i="15"/>
  <c r="X181" i="15" s="1"/>
  <c r="Z181" i="15" s="1"/>
  <c r="H181" i="15"/>
  <c r="D181" i="15"/>
  <c r="L181" i="15" s="1"/>
  <c r="N181" i="15" s="1"/>
  <c r="B181" i="15"/>
  <c r="X180" i="15"/>
  <c r="Z180" i="15" s="1"/>
  <c r="L180" i="15"/>
  <c r="N180" i="15" s="1"/>
  <c r="B180" i="15"/>
  <c r="Z179" i="15"/>
  <c r="X179" i="15"/>
  <c r="N179" i="15"/>
  <c r="L179" i="15"/>
  <c r="B179" i="15"/>
  <c r="Z178" i="15"/>
  <c r="X178" i="15"/>
  <c r="N178" i="15"/>
  <c r="L178" i="15"/>
  <c r="B178" i="15"/>
  <c r="Z177" i="15"/>
  <c r="X177" i="15"/>
  <c r="N177" i="15"/>
  <c r="L177" i="15"/>
  <c r="B177" i="15"/>
  <c r="X176" i="15"/>
  <c r="T176" i="15"/>
  <c r="Z176" i="15" s="1"/>
  <c r="P176" i="15"/>
  <c r="H176" i="15"/>
  <c r="D176" i="15"/>
  <c r="B176" i="15"/>
  <c r="Z175" i="15"/>
  <c r="X175" i="15"/>
  <c r="N175" i="15"/>
  <c r="L175" i="15"/>
  <c r="B175" i="15"/>
  <c r="T174" i="15"/>
  <c r="P174" i="15"/>
  <c r="H174" i="15"/>
  <c r="N174" i="15" s="1"/>
  <c r="D174" i="15"/>
  <c r="L174" i="15" s="1"/>
  <c r="B174" i="15"/>
  <c r="Z173" i="15"/>
  <c r="X173" i="15"/>
  <c r="N173" i="15"/>
  <c r="L173" i="15"/>
  <c r="B173" i="15"/>
  <c r="T172" i="15"/>
  <c r="Z172" i="15" s="1"/>
  <c r="P172" i="15"/>
  <c r="X172" i="15" s="1"/>
  <c r="H172" i="15"/>
  <c r="N172" i="15" s="1"/>
  <c r="D172" i="15"/>
  <c r="L172" i="15" s="1"/>
  <c r="B172" i="15"/>
  <c r="Z171" i="15"/>
  <c r="X171" i="15"/>
  <c r="N171" i="15"/>
  <c r="L171" i="15"/>
  <c r="B171" i="15"/>
  <c r="X170" i="15"/>
  <c r="Z170" i="15" s="1"/>
  <c r="L170" i="15"/>
  <c r="N170" i="15" s="1"/>
  <c r="B170" i="15"/>
  <c r="Z169" i="15"/>
  <c r="X169" i="15"/>
  <c r="T169" i="15"/>
  <c r="P169" i="15"/>
  <c r="N169" i="15"/>
  <c r="H169" i="15"/>
  <c r="D169" i="15"/>
  <c r="L169" i="15" s="1"/>
  <c r="B169" i="15"/>
  <c r="X168" i="15"/>
  <c r="Z168" i="15" s="1"/>
  <c r="L168" i="15"/>
  <c r="N168" i="15" s="1"/>
  <c r="B168" i="15"/>
  <c r="T167" i="15"/>
  <c r="P167" i="15"/>
  <c r="X167" i="15" s="1"/>
  <c r="Z167" i="15" s="1"/>
  <c r="H167" i="15"/>
  <c r="D167" i="15"/>
  <c r="L167" i="15" s="1"/>
  <c r="N167" i="15" s="1"/>
  <c r="B167" i="15"/>
  <c r="X166" i="15"/>
  <c r="Z166" i="15" s="1"/>
  <c r="L166" i="15"/>
  <c r="N166" i="15" s="1"/>
  <c r="B166" i="15"/>
  <c r="T165" i="15"/>
  <c r="P165" i="15"/>
  <c r="X165" i="15" s="1"/>
  <c r="Z165" i="15" s="1"/>
  <c r="H165" i="15"/>
  <c r="L165" i="15" s="1"/>
  <c r="N165" i="15" s="1"/>
  <c r="D165" i="15"/>
  <c r="B165" i="15"/>
  <c r="X164" i="15"/>
  <c r="Z164" i="15" s="1"/>
  <c r="L164" i="15"/>
  <c r="N164" i="15" s="1"/>
  <c r="B164" i="15"/>
  <c r="Z163" i="15"/>
  <c r="X163" i="15"/>
  <c r="N163" i="15"/>
  <c r="L163" i="15"/>
  <c r="B163" i="15"/>
  <c r="T162" i="15"/>
  <c r="P162" i="15"/>
  <c r="H162" i="15"/>
  <c r="D162" i="15"/>
  <c r="L162" i="15" s="1"/>
  <c r="B162" i="15"/>
  <c r="Z161" i="15"/>
  <c r="X161" i="15"/>
  <c r="N161" i="15"/>
  <c r="L161" i="15"/>
  <c r="B161" i="15"/>
  <c r="T160" i="15"/>
  <c r="Z160" i="15" s="1"/>
  <c r="P160" i="15"/>
  <c r="X160" i="15" s="1"/>
  <c r="H160" i="15"/>
  <c r="D160" i="15"/>
  <c r="L160" i="15" s="1"/>
  <c r="B160" i="15"/>
  <c r="Z159" i="15"/>
  <c r="X159" i="15"/>
  <c r="N159" i="15"/>
  <c r="L159" i="15"/>
  <c r="B159" i="15"/>
  <c r="T158" i="15"/>
  <c r="P158" i="15"/>
  <c r="X158" i="15" s="1"/>
  <c r="L158" i="15"/>
  <c r="H158" i="15"/>
  <c r="N158" i="15" s="1"/>
  <c r="D158" i="15"/>
  <c r="B158" i="15"/>
  <c r="Z157" i="15"/>
  <c r="X157" i="15"/>
  <c r="N157" i="15"/>
  <c r="L157" i="15"/>
  <c r="B157" i="15"/>
  <c r="X156" i="15"/>
  <c r="T156" i="15"/>
  <c r="Z156" i="15" s="1"/>
  <c r="P156" i="15"/>
  <c r="H156" i="15"/>
  <c r="D156" i="15"/>
  <c r="B156" i="15"/>
  <c r="Z155" i="15"/>
  <c r="X155" i="15"/>
  <c r="N155" i="15"/>
  <c r="L155" i="15"/>
  <c r="B155" i="15"/>
  <c r="Z154" i="15"/>
  <c r="X154" i="15"/>
  <c r="N154" i="15"/>
  <c r="L154" i="15"/>
  <c r="B154" i="15"/>
  <c r="T153" i="15"/>
  <c r="P153" i="15"/>
  <c r="X153" i="15" s="1"/>
  <c r="Z153" i="15" s="1"/>
  <c r="H153" i="15"/>
  <c r="D153" i="15"/>
  <c r="L153" i="15" s="1"/>
  <c r="N153" i="15" s="1"/>
  <c r="B153" i="15"/>
  <c r="X152" i="15"/>
  <c r="Z152" i="15" s="1"/>
  <c r="L152" i="15"/>
  <c r="N152" i="15" s="1"/>
  <c r="B152" i="15"/>
  <c r="Z151" i="15"/>
  <c r="X151" i="15"/>
  <c r="N151" i="15"/>
  <c r="L151" i="15"/>
  <c r="B151" i="15"/>
  <c r="T150" i="15"/>
  <c r="P150" i="15"/>
  <c r="H150" i="15"/>
  <c r="N150" i="15" s="1"/>
  <c r="D150" i="15"/>
  <c r="L150" i="15" s="1"/>
  <c r="B150" i="15"/>
  <c r="Z149" i="15"/>
  <c r="X149" i="15"/>
  <c r="N149" i="15"/>
  <c r="L149" i="15"/>
  <c r="B149" i="15"/>
  <c r="T148" i="15"/>
  <c r="Z148" i="15" s="1"/>
  <c r="P148" i="15"/>
  <c r="X148" i="15" s="1"/>
  <c r="H148" i="15"/>
  <c r="D148" i="15"/>
  <c r="L148" i="15" s="1"/>
  <c r="B148" i="15"/>
  <c r="Z147" i="15"/>
  <c r="X147" i="15"/>
  <c r="N147" i="15"/>
  <c r="L147" i="15"/>
  <c r="B147" i="15"/>
  <c r="X146" i="15"/>
  <c r="Z146" i="15" s="1"/>
  <c r="L146" i="15"/>
  <c r="N146" i="15" s="1"/>
  <c r="B146" i="15"/>
  <c r="Z145" i="15"/>
  <c r="X145" i="15"/>
  <c r="T145" i="15"/>
  <c r="P145" i="15"/>
  <c r="H145" i="15"/>
  <c r="D145" i="15"/>
  <c r="L145" i="15" s="1"/>
  <c r="N145" i="15" s="1"/>
  <c r="B145" i="15"/>
  <c r="X144" i="15"/>
  <c r="Z144" i="15" s="1"/>
  <c r="L144" i="15"/>
  <c r="N144" i="15" s="1"/>
  <c r="B144" i="15"/>
  <c r="T143" i="15"/>
  <c r="P143" i="15"/>
  <c r="X143" i="15" s="1"/>
  <c r="Z143" i="15" s="1"/>
  <c r="H143" i="15"/>
  <c r="D143" i="15"/>
  <c r="L143" i="15" s="1"/>
  <c r="N143" i="15" s="1"/>
  <c r="B143" i="15"/>
  <c r="X142" i="15"/>
  <c r="Z142" i="15" s="1"/>
  <c r="L142" i="15"/>
  <c r="N142" i="15" s="1"/>
  <c r="B142" i="15"/>
  <c r="Z141" i="15"/>
  <c r="X141" i="15"/>
  <c r="N141" i="15"/>
  <c r="L141" i="15"/>
  <c r="B141" i="15"/>
  <c r="X140" i="15"/>
  <c r="Z140" i="15" s="1"/>
  <c r="N140" i="15"/>
  <c r="L140" i="15"/>
  <c r="B140" i="15"/>
  <c r="Z139" i="15"/>
  <c r="X139" i="15"/>
  <c r="N139" i="15"/>
  <c r="L139" i="15"/>
  <c r="B139" i="15"/>
  <c r="X138" i="15"/>
  <c r="Z138" i="15" s="1"/>
  <c r="L138" i="15"/>
  <c r="N138" i="15" s="1"/>
  <c r="B138" i="15"/>
  <c r="Z137" i="15"/>
  <c r="X137" i="15"/>
  <c r="N137" i="15"/>
  <c r="L137" i="15"/>
  <c r="B137" i="15"/>
  <c r="X136" i="15"/>
  <c r="Z136" i="15" s="1"/>
  <c r="L136" i="15"/>
  <c r="N136" i="15" s="1"/>
  <c r="B136" i="15"/>
  <c r="T135" i="15"/>
  <c r="P135" i="15"/>
  <c r="X135" i="15" s="1"/>
  <c r="Z135" i="15" s="1"/>
  <c r="N135" i="15"/>
  <c r="L135" i="15"/>
  <c r="H135" i="15"/>
  <c r="D135" i="15"/>
  <c r="B135" i="15"/>
  <c r="X134" i="15"/>
  <c r="Z134" i="15" s="1"/>
  <c r="L134" i="15"/>
  <c r="N134" i="15" s="1"/>
  <c r="B134" i="15"/>
  <c r="Z133" i="15"/>
  <c r="X133" i="15"/>
  <c r="N133" i="15"/>
  <c r="L133" i="15"/>
  <c r="B133" i="15"/>
  <c r="X132" i="15"/>
  <c r="Z132" i="15" s="1"/>
  <c r="L132" i="15"/>
  <c r="N132" i="15" s="1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X128" i="15"/>
  <c r="Z128" i="15" s="1"/>
  <c r="L128" i="15"/>
  <c r="N128" i="15" s="1"/>
  <c r="B128" i="15"/>
  <c r="Z127" i="15"/>
  <c r="X127" i="15"/>
  <c r="N127" i="15"/>
  <c r="L127" i="15"/>
  <c r="B127" i="15"/>
  <c r="X126" i="15"/>
  <c r="Z126" i="15" s="1"/>
  <c r="L126" i="15"/>
  <c r="N126" i="15" s="1"/>
  <c r="B126" i="15"/>
  <c r="Z125" i="15"/>
  <c r="X125" i="15"/>
  <c r="N125" i="15"/>
  <c r="L125" i="15"/>
  <c r="B125" i="15"/>
  <c r="T124" i="15"/>
  <c r="Z124" i="15" s="1"/>
  <c r="P124" i="15"/>
  <c r="X124" i="15" s="1"/>
  <c r="H124" i="15"/>
  <c r="D124" i="15"/>
  <c r="L124" i="15" s="1"/>
  <c r="B124" i="15"/>
  <c r="T123" i="15"/>
  <c r="P123" i="15"/>
  <c r="X123" i="15" s="1"/>
  <c r="Z123" i="15" s="1"/>
  <c r="H123" i="15"/>
  <c r="D123" i="15"/>
  <c r="L123" i="15" s="1"/>
  <c r="N123" i="15" s="1"/>
  <c r="Z119" i="15"/>
  <c r="X119" i="15"/>
  <c r="N119" i="15"/>
  <c r="L119" i="15"/>
  <c r="B119" i="15"/>
  <c r="X118" i="15"/>
  <c r="Z118" i="15" s="1"/>
  <c r="N118" i="15"/>
  <c r="L118" i="15"/>
  <c r="B118" i="15"/>
  <c r="Z117" i="15"/>
  <c r="X117" i="15"/>
  <c r="N117" i="15"/>
  <c r="L117" i="15"/>
  <c r="B117" i="15"/>
  <c r="Z116" i="15"/>
  <c r="X116" i="15"/>
  <c r="L116" i="15"/>
  <c r="N116" i="15" s="1"/>
  <c r="B116" i="15"/>
  <c r="Z115" i="15"/>
  <c r="X115" i="15"/>
  <c r="N115" i="15"/>
  <c r="L115" i="15"/>
  <c r="B115" i="15"/>
  <c r="X114" i="15"/>
  <c r="Z114" i="15" s="1"/>
  <c r="L114" i="15"/>
  <c r="N114" i="15" s="1"/>
  <c r="B114" i="15"/>
  <c r="Z113" i="15"/>
  <c r="X113" i="15"/>
  <c r="L113" i="15"/>
  <c r="N113" i="15" s="1"/>
  <c r="B113" i="15"/>
  <c r="X112" i="15"/>
  <c r="Z112" i="15" s="1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X109" i="15"/>
  <c r="Z109" i="15" s="1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X106" i="15"/>
  <c r="Z106" i="15" s="1"/>
  <c r="N106" i="15"/>
  <c r="L106" i="15"/>
  <c r="B106" i="15"/>
  <c r="Z105" i="15"/>
  <c r="X105" i="15"/>
  <c r="L105" i="15"/>
  <c r="N105" i="15" s="1"/>
  <c r="B105" i="15"/>
  <c r="X104" i="15"/>
  <c r="Z104" i="15" s="1"/>
  <c r="N104" i="15"/>
  <c r="L104" i="15"/>
  <c r="B104" i="15"/>
  <c r="Z103" i="15"/>
  <c r="X103" i="15"/>
  <c r="N103" i="15"/>
  <c r="L103" i="15"/>
  <c r="B103" i="15"/>
  <c r="X102" i="15"/>
  <c r="Z102" i="15" s="1"/>
  <c r="L102" i="15"/>
  <c r="N102" i="15" s="1"/>
  <c r="B102" i="15"/>
  <c r="X101" i="15"/>
  <c r="Z101" i="15" s="1"/>
  <c r="N101" i="15"/>
  <c r="L101" i="15"/>
  <c r="B101" i="15"/>
  <c r="Z100" i="15"/>
  <c r="X100" i="15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Z97" i="15"/>
  <c r="X97" i="15"/>
  <c r="L97" i="15"/>
  <c r="N97" i="15" s="1"/>
  <c r="B97" i="15"/>
  <c r="X96" i="15"/>
  <c r="Z96" i="15" s="1"/>
  <c r="N96" i="15"/>
  <c r="L96" i="15"/>
  <c r="B96" i="15"/>
  <c r="Z95" i="15"/>
  <c r="X95" i="15"/>
  <c r="N95" i="15"/>
  <c r="L95" i="15"/>
  <c r="B95" i="15"/>
  <c r="X94" i="15"/>
  <c r="Z94" i="15" s="1"/>
  <c r="L94" i="15"/>
  <c r="N94" i="15" s="1"/>
  <c r="B94" i="15"/>
  <c r="X93" i="15"/>
  <c r="Z93" i="15" s="1"/>
  <c r="N93" i="15"/>
  <c r="L93" i="15"/>
  <c r="B93" i="15"/>
  <c r="Z92" i="15"/>
  <c r="X92" i="15"/>
  <c r="N92" i="15"/>
  <c r="L92" i="15"/>
  <c r="B92" i="15"/>
  <c r="Z91" i="15"/>
  <c r="X91" i="15"/>
  <c r="N91" i="15"/>
  <c r="L91" i="15"/>
  <c r="B91" i="15"/>
  <c r="X90" i="15"/>
  <c r="Z90" i="15" s="1"/>
  <c r="N90" i="15"/>
  <c r="L90" i="15"/>
  <c r="B90" i="15"/>
  <c r="Z89" i="15"/>
  <c r="X89" i="15"/>
  <c r="N89" i="15"/>
  <c r="L89" i="15"/>
  <c r="B89" i="15"/>
  <c r="X88" i="15"/>
  <c r="Z88" i="15" s="1"/>
  <c r="N88" i="15"/>
  <c r="L88" i="15"/>
  <c r="B88" i="15"/>
  <c r="Z87" i="15"/>
  <c r="X87" i="15"/>
  <c r="N87" i="15"/>
  <c r="L87" i="15"/>
  <c r="B87" i="15"/>
  <c r="X86" i="15"/>
  <c r="Z86" i="15" s="1"/>
  <c r="L86" i="15"/>
  <c r="N86" i="15" s="1"/>
  <c r="B86" i="15"/>
  <c r="X85" i="15"/>
  <c r="Z85" i="15" s="1"/>
  <c r="N85" i="15"/>
  <c r="L85" i="15"/>
  <c r="B85" i="15"/>
  <c r="Z84" i="15"/>
  <c r="X84" i="15"/>
  <c r="L84" i="15"/>
  <c r="N84" i="15" s="1"/>
  <c r="B84" i="15"/>
  <c r="Z83" i="15"/>
  <c r="X83" i="15"/>
  <c r="N83" i="15"/>
  <c r="L83" i="15"/>
  <c r="B83" i="15"/>
  <c r="X82" i="15"/>
  <c r="Z82" i="15" s="1"/>
  <c r="L82" i="15"/>
  <c r="N82" i="15" s="1"/>
  <c r="B82" i="15"/>
  <c r="Z81" i="15"/>
  <c r="X81" i="15"/>
  <c r="L81" i="15"/>
  <c r="N81" i="15" s="1"/>
  <c r="B81" i="15"/>
  <c r="Z80" i="15"/>
  <c r="X80" i="15"/>
  <c r="N80" i="15"/>
  <c r="L80" i="15"/>
  <c r="B80" i="15"/>
  <c r="Z79" i="15"/>
  <c r="T79" i="15"/>
  <c r="P79" i="15"/>
  <c r="X79" i="15" s="1"/>
  <c r="H79" i="15"/>
  <c r="D79" i="15"/>
  <c r="L79" i="15" s="1"/>
  <c r="N79" i="15" s="1"/>
  <c r="T77" i="15"/>
  <c r="Z77" i="15" s="1"/>
  <c r="P77" i="15"/>
  <c r="X77" i="15" s="1"/>
  <c r="N77" i="15"/>
  <c r="H77" i="15"/>
  <c r="D77" i="15"/>
  <c r="L77" i="15" s="1"/>
  <c r="B77" i="15"/>
  <c r="T76" i="15"/>
  <c r="Z76" i="15" s="1"/>
  <c r="P76" i="15"/>
  <c r="X76" i="15" s="1"/>
  <c r="H76" i="15"/>
  <c r="N76" i="15" s="1"/>
  <c r="D76" i="15"/>
  <c r="L76" i="15" s="1"/>
  <c r="B76" i="15"/>
  <c r="T75" i="15"/>
  <c r="P75" i="15"/>
  <c r="L75" i="15"/>
  <c r="H75" i="15"/>
  <c r="N75" i="15" s="1"/>
  <c r="D75" i="15"/>
  <c r="B75" i="15"/>
  <c r="X74" i="15"/>
  <c r="Z74" i="15" s="1"/>
  <c r="T74" i="15"/>
  <c r="P74" i="15"/>
  <c r="H74" i="15"/>
  <c r="D74" i="15"/>
  <c r="L74" i="15" s="1"/>
  <c r="N74" i="15" s="1"/>
  <c r="B74" i="15"/>
  <c r="T73" i="15"/>
  <c r="P73" i="15"/>
  <c r="X73" i="15" s="1"/>
  <c r="Z73" i="15" s="1"/>
  <c r="H73" i="15"/>
  <c r="N73" i="15" s="1"/>
  <c r="D73" i="15"/>
  <c r="L73" i="15" s="1"/>
  <c r="B73" i="15"/>
  <c r="T72" i="15"/>
  <c r="P72" i="15"/>
  <c r="X72" i="15" s="1"/>
  <c r="H72" i="15"/>
  <c r="N72" i="15" s="1"/>
  <c r="D72" i="15"/>
  <c r="L72" i="15" s="1"/>
  <c r="B72" i="15"/>
  <c r="X71" i="15"/>
  <c r="T71" i="15"/>
  <c r="Z71" i="15" s="1"/>
  <c r="P71" i="15"/>
  <c r="H71" i="15"/>
  <c r="D71" i="15"/>
  <c r="B71" i="15"/>
  <c r="Z70" i="15"/>
  <c r="T70" i="15"/>
  <c r="P70" i="15"/>
  <c r="X70" i="15" s="1"/>
  <c r="N70" i="15"/>
  <c r="L70" i="15"/>
  <c r="H70" i="15"/>
  <c r="D70" i="15"/>
  <c r="B70" i="15"/>
  <c r="T69" i="15"/>
  <c r="P69" i="15"/>
  <c r="X69" i="15" s="1"/>
  <c r="N69" i="15"/>
  <c r="H69" i="15"/>
  <c r="D69" i="15"/>
  <c r="L69" i="15" s="1"/>
  <c r="B69" i="15"/>
  <c r="T68" i="15"/>
  <c r="Z68" i="15" s="1"/>
  <c r="P68" i="15"/>
  <c r="X68" i="15" s="1"/>
  <c r="H68" i="15"/>
  <c r="D68" i="15"/>
  <c r="L68" i="15" s="1"/>
  <c r="B68" i="15"/>
  <c r="T67" i="15"/>
  <c r="P67" i="15"/>
  <c r="L67" i="15"/>
  <c r="H67" i="15"/>
  <c r="N67" i="15" s="1"/>
  <c r="D67" i="15"/>
  <c r="B67" i="15"/>
  <c r="X66" i="15"/>
  <c r="Z66" i="15" s="1"/>
  <c r="T66" i="15"/>
  <c r="P66" i="15"/>
  <c r="H66" i="15"/>
  <c r="D66" i="15"/>
  <c r="L66" i="15" s="1"/>
  <c r="N66" i="15" s="1"/>
  <c r="B66" i="15"/>
  <c r="T65" i="15"/>
  <c r="P65" i="15"/>
  <c r="X65" i="15" s="1"/>
  <c r="Z65" i="15" s="1"/>
  <c r="H65" i="15"/>
  <c r="N65" i="15" s="1"/>
  <c r="D65" i="15"/>
  <c r="L65" i="15" s="1"/>
  <c r="B65" i="15"/>
  <c r="T64" i="15"/>
  <c r="P64" i="15"/>
  <c r="X64" i="15" s="1"/>
  <c r="H64" i="15"/>
  <c r="N64" i="15" s="1"/>
  <c r="D64" i="15"/>
  <c r="L64" i="15" s="1"/>
  <c r="B64" i="15"/>
  <c r="X63" i="15"/>
  <c r="T63" i="15"/>
  <c r="Z63" i="15" s="1"/>
  <c r="P63" i="15"/>
  <c r="H63" i="15"/>
  <c r="D63" i="15"/>
  <c r="B63" i="15"/>
  <c r="T62" i="15"/>
  <c r="P62" i="15"/>
  <c r="X62" i="15" s="1"/>
  <c r="Z62" i="15" s="1"/>
  <c r="L62" i="15"/>
  <c r="N62" i="15" s="1"/>
  <c r="H62" i="15"/>
  <c r="D62" i="15"/>
  <c r="B62" i="15"/>
  <c r="T61" i="15"/>
  <c r="Z61" i="15" s="1"/>
  <c r="P61" i="15"/>
  <c r="X61" i="15" s="1"/>
  <c r="N61" i="15"/>
  <c r="H61" i="15"/>
  <c r="D61" i="15"/>
  <c r="L61" i="15" s="1"/>
  <c r="B61" i="15"/>
  <c r="T60" i="15"/>
  <c r="Z60" i="15" s="1"/>
  <c r="P60" i="15"/>
  <c r="X60" i="15" s="1"/>
  <c r="H60" i="15"/>
  <c r="N60" i="15" s="1"/>
  <c r="D60" i="15"/>
  <c r="L60" i="15" s="1"/>
  <c r="B60" i="15"/>
  <c r="T59" i="15"/>
  <c r="P59" i="15"/>
  <c r="L59" i="15"/>
  <c r="H59" i="15"/>
  <c r="N59" i="15" s="1"/>
  <c r="D59" i="15"/>
  <c r="B59" i="15"/>
  <c r="X58" i="15"/>
  <c r="Z58" i="15" s="1"/>
  <c r="T58" i="15"/>
  <c r="P58" i="15"/>
  <c r="H58" i="15"/>
  <c r="D58" i="15"/>
  <c r="L58" i="15" s="1"/>
  <c r="N58" i="15" s="1"/>
  <c r="B58" i="15"/>
  <c r="Z57" i="15"/>
  <c r="T57" i="15"/>
  <c r="P57" i="15"/>
  <c r="X57" i="15" s="1"/>
  <c r="H57" i="15"/>
  <c r="N57" i="15" s="1"/>
  <c r="D57" i="15"/>
  <c r="L57" i="15" s="1"/>
  <c r="B57" i="15"/>
  <c r="T56" i="15"/>
  <c r="P56" i="15"/>
  <c r="X56" i="15" s="1"/>
  <c r="H56" i="15"/>
  <c r="D56" i="15"/>
  <c r="L56" i="15" s="1"/>
  <c r="B56" i="15"/>
  <c r="X55" i="15"/>
  <c r="T55" i="15"/>
  <c r="Z55" i="15" s="1"/>
  <c r="P55" i="15"/>
  <c r="H55" i="15"/>
  <c r="D55" i="15"/>
  <c r="B55" i="15"/>
  <c r="T54" i="15"/>
  <c r="P54" i="15"/>
  <c r="X54" i="15" s="1"/>
  <c r="Z54" i="15" s="1"/>
  <c r="L54" i="15"/>
  <c r="N54" i="15" s="1"/>
  <c r="H54" i="15"/>
  <c r="D54" i="15"/>
  <c r="B54" i="15"/>
  <c r="T53" i="15"/>
  <c r="Z53" i="15" s="1"/>
  <c r="P53" i="15"/>
  <c r="X53" i="15" s="1"/>
  <c r="N53" i="15"/>
  <c r="H53" i="15"/>
  <c r="D53" i="15"/>
  <c r="L53" i="15" s="1"/>
  <c r="B53" i="15"/>
  <c r="T52" i="15"/>
  <c r="Z52" i="15" s="1"/>
  <c r="P52" i="15"/>
  <c r="X52" i="15" s="1"/>
  <c r="H52" i="15"/>
  <c r="N52" i="15" s="1"/>
  <c r="D52" i="15"/>
  <c r="L52" i="15" s="1"/>
  <c r="B52" i="15"/>
  <c r="T51" i="15"/>
  <c r="P51" i="15"/>
  <c r="L51" i="15"/>
  <c r="H51" i="15"/>
  <c r="N51" i="15" s="1"/>
  <c r="D51" i="15"/>
  <c r="B51" i="15"/>
  <c r="X50" i="15"/>
  <c r="Z50" i="15" s="1"/>
  <c r="T50" i="15"/>
  <c r="P50" i="15"/>
  <c r="H50" i="15"/>
  <c r="D50" i="15"/>
  <c r="L50" i="15" s="1"/>
  <c r="N50" i="15" s="1"/>
  <c r="B50" i="15"/>
  <c r="Z49" i="15"/>
  <c r="T49" i="15"/>
  <c r="P49" i="15"/>
  <c r="X49" i="15" s="1"/>
  <c r="H49" i="15"/>
  <c r="N49" i="15" s="1"/>
  <c r="D49" i="15"/>
  <c r="L49" i="15" s="1"/>
  <c r="B49" i="15"/>
  <c r="T48" i="15"/>
  <c r="P48" i="15"/>
  <c r="X48" i="15" s="1"/>
  <c r="H48" i="15"/>
  <c r="N48" i="15" s="1"/>
  <c r="D48" i="15"/>
  <c r="L48" i="15" s="1"/>
  <c r="B48" i="15"/>
  <c r="X47" i="15"/>
  <c r="T47" i="15"/>
  <c r="Z47" i="15" s="1"/>
  <c r="P47" i="15"/>
  <c r="H47" i="15"/>
  <c r="D47" i="15"/>
  <c r="B47" i="15"/>
  <c r="T46" i="15"/>
  <c r="P46" i="15"/>
  <c r="X46" i="15" s="1"/>
  <c r="Z46" i="15" s="1"/>
  <c r="N46" i="15"/>
  <c r="L46" i="15"/>
  <c r="H46" i="15"/>
  <c r="D46" i="15"/>
  <c r="B46" i="15"/>
  <c r="T45" i="15"/>
  <c r="P45" i="15"/>
  <c r="X45" i="15" s="1"/>
  <c r="N45" i="15"/>
  <c r="H45" i="15"/>
  <c r="D45" i="15"/>
  <c r="L45" i="15" s="1"/>
  <c r="B45" i="15"/>
  <c r="T44" i="15"/>
  <c r="P44" i="15"/>
  <c r="X44" i="15" s="1"/>
  <c r="H44" i="15"/>
  <c r="D44" i="15"/>
  <c r="L44" i="15" s="1"/>
  <c r="B44" i="15"/>
  <c r="T43" i="15"/>
  <c r="P43" i="15"/>
  <c r="L43" i="15"/>
  <c r="H43" i="15"/>
  <c r="N43" i="15" s="1"/>
  <c r="D43" i="15"/>
  <c r="B43" i="15"/>
  <c r="X42" i="15"/>
  <c r="Z42" i="15" s="1"/>
  <c r="T42" i="15"/>
  <c r="P42" i="15"/>
  <c r="H42" i="15"/>
  <c r="D42" i="15"/>
  <c r="L42" i="15" s="1"/>
  <c r="N42" i="15" s="1"/>
  <c r="B42" i="15"/>
  <c r="Z41" i="15"/>
  <c r="T41" i="15"/>
  <c r="P41" i="15"/>
  <c r="X41" i="15" s="1"/>
  <c r="H41" i="15"/>
  <c r="N41" i="15" s="1"/>
  <c r="D41" i="15"/>
  <c r="L41" i="15" s="1"/>
  <c r="B41" i="15"/>
  <c r="T40" i="15"/>
  <c r="P40" i="15"/>
  <c r="X40" i="15" s="1"/>
  <c r="H40" i="15"/>
  <c r="N40" i="15" s="1"/>
  <c r="D40" i="15"/>
  <c r="L40" i="15" s="1"/>
  <c r="B40" i="15"/>
  <c r="X39" i="15"/>
  <c r="T39" i="15"/>
  <c r="Z39" i="15" s="1"/>
  <c r="P39" i="15"/>
  <c r="H39" i="15"/>
  <c r="D39" i="15"/>
  <c r="B39" i="15"/>
  <c r="T38" i="15"/>
  <c r="P38" i="15"/>
  <c r="X38" i="15" s="1"/>
  <c r="Z38" i="15" s="1"/>
  <c r="L38" i="15"/>
  <c r="N38" i="15" s="1"/>
  <c r="H38" i="15"/>
  <c r="D38" i="15"/>
  <c r="B38" i="15"/>
  <c r="T37" i="15"/>
  <c r="P37" i="15"/>
  <c r="X37" i="15" s="1"/>
  <c r="N37" i="15"/>
  <c r="H37" i="15"/>
  <c r="D37" i="15"/>
  <c r="L37" i="15" s="1"/>
  <c r="B37" i="15"/>
  <c r="T36" i="15"/>
  <c r="Z36" i="15" s="1"/>
  <c r="P36" i="15"/>
  <c r="X36" i="15" s="1"/>
  <c r="H36" i="15"/>
  <c r="D36" i="15"/>
  <c r="L36" i="15" s="1"/>
  <c r="B36" i="15"/>
  <c r="T35" i="15"/>
  <c r="P35" i="15"/>
  <c r="L35" i="15"/>
  <c r="H35" i="15"/>
  <c r="N35" i="15" s="1"/>
  <c r="D35" i="15"/>
  <c r="B35" i="15"/>
  <c r="X34" i="15"/>
  <c r="Z34" i="15" s="1"/>
  <c r="T34" i="15"/>
  <c r="P34" i="15"/>
  <c r="H34" i="15"/>
  <c r="D34" i="15"/>
  <c r="L34" i="15" s="1"/>
  <c r="N34" i="15" s="1"/>
  <c r="B34" i="15"/>
  <c r="T33" i="15"/>
  <c r="P33" i="15"/>
  <c r="X33" i="15" s="1"/>
  <c r="Z33" i="15" s="1"/>
  <c r="H33" i="15"/>
  <c r="N33" i="15" s="1"/>
  <c r="D33" i="15"/>
  <c r="L33" i="15" s="1"/>
  <c r="B33" i="15"/>
  <c r="T32" i="15"/>
  <c r="Z32" i="15" s="1"/>
  <c r="P32" i="15"/>
  <c r="X32" i="15" s="1"/>
  <c r="H32" i="15"/>
  <c r="N32" i="15" s="1"/>
  <c r="D32" i="15"/>
  <c r="L32" i="15" s="1"/>
  <c r="B32" i="15"/>
  <c r="X31" i="15"/>
  <c r="T31" i="15"/>
  <c r="Z31" i="15" s="1"/>
  <c r="P31" i="15"/>
  <c r="H31" i="15"/>
  <c r="D31" i="15"/>
  <c r="B31" i="15"/>
  <c r="T30" i="15"/>
  <c r="P30" i="15"/>
  <c r="X30" i="15" s="1"/>
  <c r="Z30" i="15" s="1"/>
  <c r="L30" i="15"/>
  <c r="N30" i="15" s="1"/>
  <c r="H30" i="15"/>
  <c r="D30" i="15"/>
  <c r="B30" i="15"/>
  <c r="T29" i="15"/>
  <c r="Z29" i="15" s="1"/>
  <c r="P29" i="15"/>
  <c r="X29" i="15" s="1"/>
  <c r="H29" i="15"/>
  <c r="D29" i="15"/>
  <c r="L29" i="15" s="1"/>
  <c r="N29" i="15" s="1"/>
  <c r="B29" i="15"/>
  <c r="T28" i="15"/>
  <c r="P28" i="15"/>
  <c r="X28" i="15" s="1"/>
  <c r="H28" i="15"/>
  <c r="N28" i="15" s="1"/>
  <c r="D28" i="15"/>
  <c r="L28" i="15" s="1"/>
  <c r="B28" i="15"/>
  <c r="T27" i="15"/>
  <c r="P27" i="15"/>
  <c r="L27" i="15"/>
  <c r="H27" i="15"/>
  <c r="N27" i="15" s="1"/>
  <c r="D27" i="15"/>
  <c r="B27" i="15"/>
  <c r="X26" i="15"/>
  <c r="Z26" i="15" s="1"/>
  <c r="T26" i="15"/>
  <c r="P26" i="15"/>
  <c r="H26" i="15"/>
  <c r="D26" i="15"/>
  <c r="L26" i="15" s="1"/>
  <c r="N26" i="15" s="1"/>
  <c r="B26" i="15"/>
  <c r="Z25" i="15"/>
  <c r="T25" i="15"/>
  <c r="P25" i="15"/>
  <c r="X25" i="15" s="1"/>
  <c r="H25" i="15"/>
  <c r="N25" i="15" s="1"/>
  <c r="D25" i="15"/>
  <c r="L25" i="15" s="1"/>
  <c r="B25" i="15"/>
  <c r="T24" i="15"/>
  <c r="Z24" i="15" s="1"/>
  <c r="P24" i="15"/>
  <c r="X24" i="15" s="1"/>
  <c r="H24" i="15"/>
  <c r="N24" i="15" s="1"/>
  <c r="D24" i="15"/>
  <c r="L24" i="15" s="1"/>
  <c r="B24" i="15"/>
  <c r="X23" i="15"/>
  <c r="T23" i="15"/>
  <c r="Z23" i="15" s="1"/>
  <c r="P23" i="15"/>
  <c r="H23" i="15"/>
  <c r="D23" i="15"/>
  <c r="B23" i="15"/>
  <c r="T22" i="15"/>
  <c r="P22" i="15"/>
  <c r="X22" i="15" s="1"/>
  <c r="Z22" i="15" s="1"/>
  <c r="L22" i="15"/>
  <c r="N22" i="15" s="1"/>
  <c r="H22" i="15"/>
  <c r="D22" i="15"/>
  <c r="B22" i="15"/>
  <c r="T21" i="15"/>
  <c r="P21" i="15"/>
  <c r="X21" i="15" s="1"/>
  <c r="H21" i="15"/>
  <c r="D21" i="15"/>
  <c r="L21" i="15" s="1"/>
  <c r="N21" i="15" s="1"/>
  <c r="B21" i="15"/>
  <c r="T20" i="15"/>
  <c r="Z20" i="15" s="1"/>
  <c r="P20" i="15"/>
  <c r="X20" i="15" s="1"/>
  <c r="H20" i="15"/>
  <c r="D20" i="15"/>
  <c r="L20" i="15" s="1"/>
  <c r="B20" i="15"/>
  <c r="T19" i="15"/>
  <c r="P19" i="15"/>
  <c r="L19" i="15"/>
  <c r="H19" i="15"/>
  <c r="N19" i="15" s="1"/>
  <c r="D19" i="15"/>
  <c r="B19" i="15"/>
  <c r="X18" i="15"/>
  <c r="Z18" i="15" s="1"/>
  <c r="T18" i="15"/>
  <c r="P18" i="15"/>
  <c r="H18" i="15"/>
  <c r="D18" i="15"/>
  <c r="L18" i="15" s="1"/>
  <c r="N18" i="15" s="1"/>
  <c r="B18" i="15"/>
  <c r="T17" i="15"/>
  <c r="P17" i="15"/>
  <c r="X17" i="15" s="1"/>
  <c r="Z17" i="15" s="1"/>
  <c r="H17" i="15"/>
  <c r="N17" i="15" s="1"/>
  <c r="D17" i="15"/>
  <c r="L17" i="15" s="1"/>
  <c r="B17" i="15"/>
  <c r="T16" i="15"/>
  <c r="P16" i="15"/>
  <c r="X16" i="15" s="1"/>
  <c r="H16" i="15"/>
  <c r="N16" i="15" s="1"/>
  <c r="D16" i="15"/>
  <c r="L16" i="15" s="1"/>
  <c r="B16" i="15"/>
  <c r="X15" i="15"/>
  <c r="T15" i="15"/>
  <c r="Z15" i="15" s="1"/>
  <c r="P15" i="15"/>
  <c r="H15" i="15"/>
  <c r="D15" i="15"/>
  <c r="B15" i="15"/>
  <c r="T14" i="15"/>
  <c r="P14" i="15"/>
  <c r="X14" i="15" s="1"/>
  <c r="Z14" i="15" s="1"/>
  <c r="L14" i="15"/>
  <c r="N14" i="15" s="1"/>
  <c r="H14" i="15"/>
  <c r="D14" i="15"/>
  <c r="B14" i="15"/>
  <c r="T13" i="15"/>
  <c r="Z13" i="15" s="1"/>
  <c r="P13" i="15"/>
  <c r="X13" i="15" s="1"/>
  <c r="H13" i="15"/>
  <c r="D13" i="15"/>
  <c r="B13" i="15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0" i="14" s="1"/>
  <c r="P12" i="14"/>
  <c r="R34" i="14" s="1"/>
  <c r="H12" i="14"/>
  <c r="J34" i="14" s="1"/>
  <c r="D12" i="14"/>
  <c r="F20" i="14" s="1"/>
  <c r="D5" i="14"/>
  <c r="D4" i="14"/>
  <c r="B39" i="13"/>
  <c r="B38" i="13"/>
  <c r="T34" i="13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18" i="13" s="1"/>
  <c r="H12" i="13"/>
  <c r="J20" i="13" s="1"/>
  <c r="D12" i="13"/>
  <c r="F22" i="13" s="1"/>
  <c r="D5" i="13"/>
  <c r="D4" i="13"/>
  <c r="Z229" i="12"/>
  <c r="X229" i="12"/>
  <c r="N229" i="12"/>
  <c r="L229" i="12"/>
  <c r="T225" i="12"/>
  <c r="P225" i="12"/>
  <c r="X225" i="12" s="1"/>
  <c r="N225" i="12"/>
  <c r="L225" i="12"/>
  <c r="H225" i="12"/>
  <c r="D225" i="12"/>
  <c r="B225" i="12"/>
  <c r="T224" i="12"/>
  <c r="P224" i="12"/>
  <c r="X224" i="12" s="1"/>
  <c r="L224" i="12"/>
  <c r="N224" i="12" s="1"/>
  <c r="H224" i="12"/>
  <c r="D224" i="12"/>
  <c r="B224" i="12"/>
  <c r="T223" i="12"/>
  <c r="P223" i="12"/>
  <c r="X223" i="12" s="1"/>
  <c r="Z223" i="12" s="1"/>
  <c r="H223" i="12"/>
  <c r="D223" i="12"/>
  <c r="B223" i="12"/>
  <c r="T222" i="12"/>
  <c r="P222" i="12"/>
  <c r="H222" i="12"/>
  <c r="N222" i="12" s="1"/>
  <c r="D222" i="12"/>
  <c r="L222" i="12" s="1"/>
  <c r="B222" i="12"/>
  <c r="T221" i="12"/>
  <c r="D221" i="12"/>
  <c r="X219" i="12"/>
  <c r="Z219" i="12" s="1"/>
  <c r="N219" i="12"/>
  <c r="L219" i="12"/>
  <c r="B219" i="12"/>
  <c r="T218" i="12"/>
  <c r="P218" i="12"/>
  <c r="H218" i="12"/>
  <c r="D218" i="12"/>
  <c r="L218" i="12" s="1"/>
  <c r="N218" i="12" s="1"/>
  <c r="B218" i="12"/>
  <c r="X217" i="12"/>
  <c r="Z217" i="12" s="1"/>
  <c r="N217" i="12"/>
  <c r="L217" i="12"/>
  <c r="B217" i="12"/>
  <c r="Z216" i="12"/>
  <c r="X216" i="12"/>
  <c r="L216" i="12"/>
  <c r="N216" i="12" s="1"/>
  <c r="B216" i="12"/>
  <c r="X215" i="12"/>
  <c r="Z215" i="12" s="1"/>
  <c r="N215" i="12"/>
  <c r="L215" i="12"/>
  <c r="B215" i="12"/>
  <c r="T214" i="12"/>
  <c r="P214" i="12"/>
  <c r="H214" i="12"/>
  <c r="D214" i="12"/>
  <c r="L214" i="12" s="1"/>
  <c r="N214" i="12" s="1"/>
  <c r="B214" i="12"/>
  <c r="X213" i="12"/>
  <c r="Z213" i="12" s="1"/>
  <c r="N213" i="12"/>
  <c r="L213" i="12"/>
  <c r="B213" i="12"/>
  <c r="T212" i="12"/>
  <c r="P212" i="12"/>
  <c r="X212" i="12" s="1"/>
  <c r="Z212" i="12" s="1"/>
  <c r="L212" i="12"/>
  <c r="H212" i="12"/>
  <c r="N212" i="12" s="1"/>
  <c r="D212" i="12"/>
  <c r="B212" i="12"/>
  <c r="Z211" i="12"/>
  <c r="X211" i="12"/>
  <c r="L211" i="12"/>
  <c r="N211" i="12" s="1"/>
  <c r="B211" i="12"/>
  <c r="X210" i="12"/>
  <c r="Z210" i="12" s="1"/>
  <c r="L210" i="12"/>
  <c r="N210" i="12" s="1"/>
  <c r="B210" i="12"/>
  <c r="X209" i="12"/>
  <c r="Z209" i="12" s="1"/>
  <c r="T209" i="12"/>
  <c r="P209" i="12"/>
  <c r="N209" i="12"/>
  <c r="H209" i="12"/>
  <c r="D209" i="12"/>
  <c r="L209" i="12" s="1"/>
  <c r="B209" i="12"/>
  <c r="X208" i="12"/>
  <c r="Z208" i="12" s="1"/>
  <c r="N208" i="12"/>
  <c r="L208" i="12"/>
  <c r="B208" i="12"/>
  <c r="Z207" i="12"/>
  <c r="X207" i="12"/>
  <c r="N207" i="12"/>
  <c r="L207" i="12"/>
  <c r="B207" i="12"/>
  <c r="X206" i="12"/>
  <c r="Z206" i="12" s="1"/>
  <c r="L206" i="12"/>
  <c r="N206" i="12" s="1"/>
  <c r="B206" i="12"/>
  <c r="X205" i="12"/>
  <c r="Z205" i="12" s="1"/>
  <c r="L205" i="12"/>
  <c r="N205" i="12" s="1"/>
  <c r="B205" i="12"/>
  <c r="Z204" i="12"/>
  <c r="X204" i="12"/>
  <c r="L204" i="12"/>
  <c r="N204" i="12" s="1"/>
  <c r="B204" i="12"/>
  <c r="X203" i="12"/>
  <c r="Z203" i="12" s="1"/>
  <c r="N203" i="12"/>
  <c r="L203" i="12"/>
  <c r="B203" i="12"/>
  <c r="X202" i="12"/>
  <c r="Z202" i="12" s="1"/>
  <c r="L202" i="12"/>
  <c r="N202" i="12" s="1"/>
  <c r="B202" i="12"/>
  <c r="T201" i="12"/>
  <c r="P201" i="12"/>
  <c r="X201" i="12" s="1"/>
  <c r="Z201" i="12" s="1"/>
  <c r="H201" i="12"/>
  <c r="D201" i="12"/>
  <c r="B201" i="12"/>
  <c r="Z200" i="12"/>
  <c r="X200" i="12"/>
  <c r="L200" i="12"/>
  <c r="N200" i="12" s="1"/>
  <c r="B200" i="12"/>
  <c r="X199" i="12"/>
  <c r="Z199" i="12" s="1"/>
  <c r="N199" i="12"/>
  <c r="L199" i="12"/>
  <c r="B199" i="12"/>
  <c r="T198" i="12"/>
  <c r="P198" i="12"/>
  <c r="H198" i="12"/>
  <c r="D198" i="12"/>
  <c r="L198" i="12" s="1"/>
  <c r="N198" i="12" s="1"/>
  <c r="B198" i="12"/>
  <c r="Z197" i="12"/>
  <c r="X197" i="12"/>
  <c r="N197" i="12"/>
  <c r="L197" i="12"/>
  <c r="B197" i="12"/>
  <c r="Z196" i="12"/>
  <c r="X196" i="12"/>
  <c r="L196" i="12"/>
  <c r="N196" i="12" s="1"/>
  <c r="B196" i="12"/>
  <c r="X195" i="12"/>
  <c r="Z195" i="12" s="1"/>
  <c r="N195" i="12"/>
  <c r="L195" i="12"/>
  <c r="B195" i="12"/>
  <c r="Z194" i="12"/>
  <c r="X194" i="12"/>
  <c r="N194" i="12"/>
  <c r="L194" i="12"/>
  <c r="B194" i="12"/>
  <c r="X193" i="12"/>
  <c r="Z193" i="12" s="1"/>
  <c r="L193" i="12"/>
  <c r="N193" i="12" s="1"/>
  <c r="B193" i="12"/>
  <c r="X192" i="12"/>
  <c r="T192" i="12"/>
  <c r="P192" i="12"/>
  <c r="H192" i="12"/>
  <c r="D192" i="12"/>
  <c r="B192" i="12"/>
  <c r="X191" i="12"/>
  <c r="Z191" i="12" s="1"/>
  <c r="N191" i="12"/>
  <c r="L191" i="12"/>
  <c r="B191" i="12"/>
  <c r="X190" i="12"/>
  <c r="Z190" i="12" s="1"/>
  <c r="N190" i="12"/>
  <c r="L190" i="12"/>
  <c r="B190" i="12"/>
  <c r="Z189" i="12"/>
  <c r="X189" i="12"/>
  <c r="L189" i="12"/>
  <c r="N189" i="12" s="1"/>
  <c r="B189" i="12"/>
  <c r="X188" i="12"/>
  <c r="T188" i="12"/>
  <c r="Z188" i="12" s="1"/>
  <c r="P188" i="12"/>
  <c r="H188" i="12"/>
  <c r="D188" i="12"/>
  <c r="L188" i="12" s="1"/>
  <c r="B188" i="12"/>
  <c r="X187" i="12"/>
  <c r="Z187" i="12" s="1"/>
  <c r="N187" i="12"/>
  <c r="L187" i="12"/>
  <c r="B187" i="12"/>
  <c r="Z186" i="12"/>
  <c r="X186" i="12"/>
  <c r="L186" i="12"/>
  <c r="N186" i="12" s="1"/>
  <c r="B186" i="12"/>
  <c r="Z185" i="12"/>
  <c r="X185" i="12"/>
  <c r="N185" i="12"/>
  <c r="L185" i="12"/>
  <c r="B185" i="12"/>
  <c r="X184" i="12"/>
  <c r="Z184" i="12" s="1"/>
  <c r="N184" i="12"/>
  <c r="L184" i="12"/>
  <c r="B184" i="12"/>
  <c r="T183" i="12"/>
  <c r="P183" i="12"/>
  <c r="X183" i="12" s="1"/>
  <c r="Z183" i="12" s="1"/>
  <c r="H183" i="12"/>
  <c r="D183" i="12"/>
  <c r="L183" i="12" s="1"/>
  <c r="N183" i="12" s="1"/>
  <c r="B183" i="12"/>
  <c r="X182" i="12"/>
  <c r="Z182" i="12" s="1"/>
  <c r="L182" i="12"/>
  <c r="N182" i="12" s="1"/>
  <c r="B182" i="12"/>
  <c r="T181" i="12"/>
  <c r="P181" i="12"/>
  <c r="X181" i="12" s="1"/>
  <c r="Z181" i="12" s="1"/>
  <c r="L181" i="12"/>
  <c r="N181" i="12" s="1"/>
  <c r="H181" i="12"/>
  <c r="D181" i="12"/>
  <c r="B181" i="12"/>
  <c r="Z180" i="12"/>
  <c r="X180" i="12"/>
  <c r="N180" i="12"/>
  <c r="L180" i="12"/>
  <c r="B180" i="12"/>
  <c r="Z179" i="12"/>
  <c r="X179" i="12"/>
  <c r="T179" i="12"/>
  <c r="P179" i="12"/>
  <c r="L179" i="12"/>
  <c r="H179" i="12"/>
  <c r="N179" i="12" s="1"/>
  <c r="D179" i="12"/>
  <c r="B179" i="12"/>
  <c r="Z178" i="12"/>
  <c r="X178" i="12"/>
  <c r="N178" i="12"/>
  <c r="L178" i="12"/>
  <c r="B178" i="12"/>
  <c r="X177" i="12"/>
  <c r="Z177" i="12" s="1"/>
  <c r="N177" i="12"/>
  <c r="L177" i="12"/>
  <c r="B177" i="12"/>
  <c r="T176" i="12"/>
  <c r="P176" i="12"/>
  <c r="X176" i="12" s="1"/>
  <c r="Z176" i="12" s="1"/>
  <c r="H176" i="12"/>
  <c r="N176" i="12" s="1"/>
  <c r="D176" i="12"/>
  <c r="L176" i="12" s="1"/>
  <c r="B176" i="12"/>
  <c r="Z175" i="12"/>
  <c r="X175" i="12"/>
  <c r="L175" i="12"/>
  <c r="N175" i="12" s="1"/>
  <c r="B175" i="12"/>
  <c r="T174" i="12"/>
  <c r="Z174" i="12" s="1"/>
  <c r="P174" i="12"/>
  <c r="X174" i="12" s="1"/>
  <c r="L174" i="12"/>
  <c r="H174" i="12"/>
  <c r="N174" i="12" s="1"/>
  <c r="D174" i="12"/>
  <c r="B174" i="12"/>
  <c r="Z173" i="12"/>
  <c r="X173" i="12"/>
  <c r="L173" i="12"/>
  <c r="N173" i="12" s="1"/>
  <c r="B173" i="12"/>
  <c r="X172" i="12"/>
  <c r="T172" i="12"/>
  <c r="Z172" i="12" s="1"/>
  <c r="P172" i="12"/>
  <c r="H172" i="12"/>
  <c r="D172" i="12"/>
  <c r="B172" i="12"/>
  <c r="X171" i="12"/>
  <c r="Z171" i="12" s="1"/>
  <c r="N171" i="12"/>
  <c r="L171" i="12"/>
  <c r="B171" i="12"/>
  <c r="T170" i="12"/>
  <c r="P170" i="12"/>
  <c r="H170" i="12"/>
  <c r="D170" i="12"/>
  <c r="L170" i="12" s="1"/>
  <c r="N170" i="12" s="1"/>
  <c r="B170" i="12"/>
  <c r="X169" i="12"/>
  <c r="Z169" i="12" s="1"/>
  <c r="L169" i="12"/>
  <c r="N169" i="12" s="1"/>
  <c r="B169" i="12"/>
  <c r="Z168" i="12"/>
  <c r="X168" i="12"/>
  <c r="L168" i="12"/>
  <c r="N168" i="12" s="1"/>
  <c r="B168" i="12"/>
  <c r="T167" i="12"/>
  <c r="P167" i="12"/>
  <c r="L167" i="12"/>
  <c r="H167" i="12"/>
  <c r="N167" i="12" s="1"/>
  <c r="D167" i="12"/>
  <c r="B167" i="12"/>
  <c r="X166" i="12"/>
  <c r="Z166" i="12" s="1"/>
  <c r="N166" i="12"/>
  <c r="L166" i="12"/>
  <c r="B166" i="12"/>
  <c r="X165" i="12"/>
  <c r="T165" i="12"/>
  <c r="Z165" i="12" s="1"/>
  <c r="P165" i="12"/>
  <c r="N165" i="12"/>
  <c r="H165" i="12"/>
  <c r="D165" i="12"/>
  <c r="L165" i="12" s="1"/>
  <c r="B165" i="12"/>
  <c r="X164" i="12"/>
  <c r="Z164" i="12" s="1"/>
  <c r="N164" i="12"/>
  <c r="L164" i="12"/>
  <c r="B164" i="12"/>
  <c r="Z163" i="12"/>
  <c r="T163" i="12"/>
  <c r="P163" i="12"/>
  <c r="X163" i="12" s="1"/>
  <c r="H163" i="12"/>
  <c r="D163" i="12"/>
  <c r="L163" i="12" s="1"/>
  <c r="N163" i="12" s="1"/>
  <c r="B163" i="12"/>
  <c r="Z162" i="12"/>
  <c r="X162" i="12"/>
  <c r="N162" i="12"/>
  <c r="L162" i="12"/>
  <c r="B162" i="12"/>
  <c r="T161" i="12"/>
  <c r="Z161" i="12" s="1"/>
  <c r="P161" i="12"/>
  <c r="X161" i="12" s="1"/>
  <c r="H161" i="12"/>
  <c r="N161" i="12" s="1"/>
  <c r="D161" i="12"/>
  <c r="B161" i="12"/>
  <c r="Z160" i="12"/>
  <c r="X160" i="12"/>
  <c r="L160" i="12"/>
  <c r="N160" i="12" s="1"/>
  <c r="B160" i="12"/>
  <c r="Z159" i="12"/>
  <c r="X159" i="12"/>
  <c r="N159" i="12"/>
  <c r="L159" i="12"/>
  <c r="B159" i="12"/>
  <c r="T158" i="12"/>
  <c r="P158" i="12"/>
  <c r="H158" i="12"/>
  <c r="D158" i="12"/>
  <c r="L158" i="12" s="1"/>
  <c r="N158" i="12" s="1"/>
  <c r="B158" i="12"/>
  <c r="X157" i="12"/>
  <c r="Z157" i="12" s="1"/>
  <c r="L157" i="12"/>
  <c r="N157" i="12" s="1"/>
  <c r="B157" i="12"/>
  <c r="Z156" i="12"/>
  <c r="X156" i="12"/>
  <c r="L156" i="12"/>
  <c r="N156" i="12" s="1"/>
  <c r="B156" i="12"/>
  <c r="X155" i="12"/>
  <c r="T155" i="12"/>
  <c r="Z155" i="12" s="1"/>
  <c r="P155" i="12"/>
  <c r="L155" i="12"/>
  <c r="H155" i="12"/>
  <c r="N155" i="12" s="1"/>
  <c r="D155" i="12"/>
  <c r="B155" i="12"/>
  <c r="Z154" i="12"/>
  <c r="X154" i="12"/>
  <c r="N154" i="12"/>
  <c r="L154" i="12"/>
  <c r="B154" i="12"/>
  <c r="X153" i="12"/>
  <c r="T153" i="12"/>
  <c r="Z153" i="12" s="1"/>
  <c r="P153" i="12"/>
  <c r="H153" i="12"/>
  <c r="D153" i="12"/>
  <c r="L153" i="12" s="1"/>
  <c r="N153" i="12" s="1"/>
  <c r="B153" i="12"/>
  <c r="X152" i="12"/>
  <c r="Z152" i="12" s="1"/>
  <c r="N152" i="12"/>
  <c r="L152" i="12"/>
  <c r="B152" i="12"/>
  <c r="Z151" i="12"/>
  <c r="X151" i="12"/>
  <c r="L151" i="12"/>
  <c r="N151" i="12" s="1"/>
  <c r="B151" i="12"/>
  <c r="T150" i="12"/>
  <c r="P150" i="12"/>
  <c r="X150" i="12" s="1"/>
  <c r="Z150" i="12" s="1"/>
  <c r="L150" i="12"/>
  <c r="N150" i="12" s="1"/>
  <c r="H150" i="12"/>
  <c r="D150" i="12"/>
  <c r="B150" i="12"/>
  <c r="X149" i="12"/>
  <c r="Z149" i="12" s="1"/>
  <c r="L149" i="12"/>
  <c r="N149" i="12" s="1"/>
  <c r="B149" i="12"/>
  <c r="X148" i="12"/>
  <c r="Z148" i="12" s="1"/>
  <c r="T148" i="12"/>
  <c r="P148" i="12"/>
  <c r="H148" i="12"/>
  <c r="D148" i="12"/>
  <c r="B148" i="12"/>
  <c r="X147" i="12"/>
  <c r="Z147" i="12" s="1"/>
  <c r="N147" i="12"/>
  <c r="L147" i="12"/>
  <c r="B147" i="12"/>
  <c r="Z146" i="12"/>
  <c r="X146" i="12"/>
  <c r="N146" i="12"/>
  <c r="L146" i="12"/>
  <c r="B146" i="12"/>
  <c r="X145" i="12"/>
  <c r="Z145" i="12" s="1"/>
  <c r="N145" i="12"/>
  <c r="L145" i="12"/>
  <c r="B145" i="12"/>
  <c r="X144" i="12"/>
  <c r="Z144" i="12" s="1"/>
  <c r="N144" i="12"/>
  <c r="L144" i="12"/>
  <c r="B144" i="12"/>
  <c r="Z143" i="12"/>
  <c r="X143" i="12"/>
  <c r="L143" i="12"/>
  <c r="N143" i="12" s="1"/>
  <c r="B143" i="12"/>
  <c r="Z142" i="12"/>
  <c r="X142" i="12"/>
  <c r="N142" i="12"/>
  <c r="L142" i="12"/>
  <c r="B142" i="12"/>
  <c r="X141" i="12"/>
  <c r="Z141" i="12" s="1"/>
  <c r="L141" i="12"/>
  <c r="N141" i="12" s="1"/>
  <c r="B141" i="12"/>
  <c r="T140" i="12"/>
  <c r="P140" i="12"/>
  <c r="X140" i="12" s="1"/>
  <c r="Z140" i="12" s="1"/>
  <c r="H140" i="12"/>
  <c r="D140" i="12"/>
  <c r="L140" i="12" s="1"/>
  <c r="N140" i="12" s="1"/>
  <c r="B140" i="12"/>
  <c r="Z139" i="12"/>
  <c r="X139" i="12"/>
  <c r="L139" i="12"/>
  <c r="N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Z136" i="12"/>
  <c r="X136" i="12"/>
  <c r="L136" i="12"/>
  <c r="N136" i="12" s="1"/>
  <c r="B136" i="12"/>
  <c r="Z135" i="12"/>
  <c r="X135" i="12"/>
  <c r="N135" i="12"/>
  <c r="L135" i="12"/>
  <c r="B135" i="12"/>
  <c r="Z134" i="12"/>
  <c r="X134" i="12"/>
  <c r="N134" i="12"/>
  <c r="L134" i="12"/>
  <c r="B134" i="12"/>
  <c r="X133" i="12"/>
  <c r="Z133" i="12" s="1"/>
  <c r="L133" i="12"/>
  <c r="N133" i="12" s="1"/>
  <c r="B133" i="12"/>
  <c r="X132" i="12"/>
  <c r="Z132" i="12" s="1"/>
  <c r="N132" i="12"/>
  <c r="L132" i="12"/>
  <c r="B132" i="12"/>
  <c r="Z131" i="12"/>
  <c r="X131" i="12"/>
  <c r="L131" i="12"/>
  <c r="N131" i="12" s="1"/>
  <c r="B131" i="12"/>
  <c r="Z130" i="12"/>
  <c r="X130" i="12"/>
  <c r="N130" i="12"/>
  <c r="L130" i="12"/>
  <c r="B130" i="12"/>
  <c r="X129" i="12"/>
  <c r="T129" i="12"/>
  <c r="Z129" i="12" s="1"/>
  <c r="P129" i="12"/>
  <c r="N129" i="12"/>
  <c r="H129" i="12"/>
  <c r="D129" i="12"/>
  <c r="L129" i="12" s="1"/>
  <c r="B129" i="12"/>
  <c r="X128" i="12"/>
  <c r="T128" i="12"/>
  <c r="P128" i="12"/>
  <c r="H128" i="12"/>
  <c r="D128" i="12"/>
  <c r="L128" i="12" s="1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L121" i="12"/>
  <c r="N121" i="12" s="1"/>
  <c r="B121" i="12"/>
  <c r="X120" i="12"/>
  <c r="Z120" i="12" s="1"/>
  <c r="L120" i="12"/>
  <c r="N120" i="12" s="1"/>
  <c r="B120" i="12"/>
  <c r="Z119" i="12"/>
  <c r="X119" i="12"/>
  <c r="N119" i="12"/>
  <c r="L119" i="12"/>
  <c r="B119" i="12"/>
  <c r="Z118" i="12"/>
  <c r="X118" i="12"/>
  <c r="L118" i="12"/>
  <c r="N118" i="12" s="1"/>
  <c r="B118" i="12"/>
  <c r="X117" i="12"/>
  <c r="Z117" i="12" s="1"/>
  <c r="N117" i="12"/>
  <c r="L117" i="12"/>
  <c r="B117" i="12"/>
  <c r="X116" i="12"/>
  <c r="Z116" i="12" s="1"/>
  <c r="N116" i="12"/>
  <c r="L116" i="12"/>
  <c r="B116" i="12"/>
  <c r="Z115" i="12"/>
  <c r="X115" i="12"/>
  <c r="N115" i="12"/>
  <c r="L115" i="12"/>
  <c r="B115" i="12"/>
  <c r="X114" i="12"/>
  <c r="Z114" i="12" s="1"/>
  <c r="N114" i="12"/>
  <c r="L114" i="12"/>
  <c r="B114" i="12"/>
  <c r="Z113" i="12"/>
  <c r="X113" i="12"/>
  <c r="N113" i="12"/>
  <c r="L113" i="12"/>
  <c r="B113" i="12"/>
  <c r="Z112" i="12"/>
  <c r="X112" i="12"/>
  <c r="L112" i="12"/>
  <c r="N112" i="12" s="1"/>
  <c r="B112" i="12"/>
  <c r="Z111" i="12"/>
  <c r="X111" i="12"/>
  <c r="N111" i="12"/>
  <c r="L111" i="12"/>
  <c r="B111" i="12"/>
  <c r="Z110" i="12"/>
  <c r="X110" i="12"/>
  <c r="L110" i="12"/>
  <c r="N110" i="12" s="1"/>
  <c r="B110" i="12"/>
  <c r="X109" i="12"/>
  <c r="Z109" i="12" s="1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X106" i="12"/>
  <c r="Z106" i="12" s="1"/>
  <c r="N106" i="12"/>
  <c r="L106" i="12"/>
  <c r="B106" i="12"/>
  <c r="Z105" i="12"/>
  <c r="X105" i="12"/>
  <c r="N105" i="12"/>
  <c r="L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L102" i="12"/>
  <c r="N102" i="12" s="1"/>
  <c r="B102" i="12"/>
  <c r="X101" i="12"/>
  <c r="Z101" i="12" s="1"/>
  <c r="N101" i="12"/>
  <c r="L101" i="12"/>
  <c r="B101" i="12"/>
  <c r="X100" i="12"/>
  <c r="Z100" i="12" s="1"/>
  <c r="L100" i="12"/>
  <c r="N100" i="12" s="1"/>
  <c r="B100" i="12"/>
  <c r="Z99" i="12"/>
  <c r="X99" i="12"/>
  <c r="N99" i="12"/>
  <c r="L99" i="12"/>
  <c r="B99" i="12"/>
  <c r="X98" i="12"/>
  <c r="Z98" i="12" s="1"/>
  <c r="N98" i="12"/>
  <c r="L98" i="12"/>
  <c r="B98" i="12"/>
  <c r="Z97" i="12"/>
  <c r="X97" i="12"/>
  <c r="L97" i="12"/>
  <c r="N97" i="12" s="1"/>
  <c r="B97" i="12"/>
  <c r="X96" i="12"/>
  <c r="Z96" i="12" s="1"/>
  <c r="L96" i="12"/>
  <c r="N96" i="12" s="1"/>
  <c r="B96" i="12"/>
  <c r="Z95" i="12"/>
  <c r="X95" i="12"/>
  <c r="N95" i="12"/>
  <c r="L95" i="12"/>
  <c r="B95" i="12"/>
  <c r="Z94" i="12"/>
  <c r="X94" i="12"/>
  <c r="N94" i="12"/>
  <c r="L94" i="12"/>
  <c r="B94" i="12"/>
  <c r="X93" i="12"/>
  <c r="Z93" i="12" s="1"/>
  <c r="N93" i="12"/>
  <c r="L93" i="12"/>
  <c r="B93" i="12"/>
  <c r="X92" i="12"/>
  <c r="Z92" i="12" s="1"/>
  <c r="N92" i="12"/>
  <c r="L92" i="12"/>
  <c r="B92" i="12"/>
  <c r="Z91" i="12"/>
  <c r="X91" i="12"/>
  <c r="N91" i="12"/>
  <c r="L91" i="12"/>
  <c r="B91" i="12"/>
  <c r="X90" i="12"/>
  <c r="Z90" i="12" s="1"/>
  <c r="N90" i="12"/>
  <c r="L90" i="12"/>
  <c r="B90" i="12"/>
  <c r="Z89" i="12"/>
  <c r="X89" i="12"/>
  <c r="L89" i="12"/>
  <c r="N89" i="12" s="1"/>
  <c r="B89" i="12"/>
  <c r="Z88" i="12"/>
  <c r="X88" i="12"/>
  <c r="N88" i="12"/>
  <c r="L88" i="12"/>
  <c r="B88" i="12"/>
  <c r="Z87" i="12"/>
  <c r="X87" i="12"/>
  <c r="N87" i="12"/>
  <c r="L87" i="12"/>
  <c r="B87" i="12"/>
  <c r="X86" i="12"/>
  <c r="Z86" i="12" s="1"/>
  <c r="N86" i="12"/>
  <c r="L86" i="12"/>
  <c r="B86" i="12"/>
  <c r="X85" i="12"/>
  <c r="Z85" i="12" s="1"/>
  <c r="N85" i="12"/>
  <c r="L85" i="12"/>
  <c r="B85" i="12"/>
  <c r="X84" i="12"/>
  <c r="Z84" i="12" s="1"/>
  <c r="N84" i="12"/>
  <c r="L84" i="12"/>
  <c r="B84" i="12"/>
  <c r="Z83" i="12"/>
  <c r="X83" i="12"/>
  <c r="N83" i="12"/>
  <c r="L83" i="12"/>
  <c r="B83" i="12"/>
  <c r="X82" i="12"/>
  <c r="T82" i="12"/>
  <c r="P82" i="12"/>
  <c r="L82" i="12"/>
  <c r="H82" i="12"/>
  <c r="D82" i="12"/>
  <c r="T80" i="12"/>
  <c r="Z80" i="12" s="1"/>
  <c r="P80" i="12"/>
  <c r="X80" i="12" s="1"/>
  <c r="H80" i="12"/>
  <c r="N80" i="12" s="1"/>
  <c r="D80" i="12"/>
  <c r="L80" i="12" s="1"/>
  <c r="B80" i="12"/>
  <c r="T79" i="12"/>
  <c r="P79" i="12"/>
  <c r="N79" i="12"/>
  <c r="L79" i="12"/>
  <c r="H79" i="12"/>
  <c r="D79" i="12"/>
  <c r="B79" i="12"/>
  <c r="X78" i="12"/>
  <c r="Z78" i="12" s="1"/>
  <c r="T78" i="12"/>
  <c r="P78" i="12"/>
  <c r="N78" i="12"/>
  <c r="L78" i="12"/>
  <c r="H78" i="12"/>
  <c r="D78" i="12"/>
  <c r="B78" i="12"/>
  <c r="Z77" i="12"/>
  <c r="T77" i="12"/>
  <c r="P77" i="12"/>
  <c r="X77" i="12" s="1"/>
  <c r="N77" i="12"/>
  <c r="H77" i="12"/>
  <c r="D77" i="12"/>
  <c r="L77" i="12" s="1"/>
  <c r="B77" i="12"/>
  <c r="X76" i="12"/>
  <c r="T76" i="12"/>
  <c r="P76" i="12"/>
  <c r="H76" i="12"/>
  <c r="N76" i="12" s="1"/>
  <c r="D76" i="12"/>
  <c r="L76" i="12" s="1"/>
  <c r="B76" i="12"/>
  <c r="T75" i="12"/>
  <c r="P75" i="12"/>
  <c r="L75" i="12"/>
  <c r="H75" i="12"/>
  <c r="N75" i="12" s="1"/>
  <c r="D75" i="12"/>
  <c r="B75" i="12"/>
  <c r="X74" i="12"/>
  <c r="Z74" i="12" s="1"/>
  <c r="T74" i="12"/>
  <c r="P74" i="12"/>
  <c r="N74" i="12"/>
  <c r="L74" i="12"/>
  <c r="H74" i="12"/>
  <c r="D74" i="12"/>
  <c r="B74" i="12"/>
  <c r="Z73" i="12"/>
  <c r="T73" i="12"/>
  <c r="P73" i="12"/>
  <c r="N73" i="12"/>
  <c r="H73" i="12"/>
  <c r="D73" i="12"/>
  <c r="B73" i="12"/>
  <c r="T72" i="12"/>
  <c r="P72" i="12"/>
  <c r="X72" i="12" s="1"/>
  <c r="H72" i="12"/>
  <c r="N72" i="12" s="1"/>
  <c r="D72" i="12"/>
  <c r="L72" i="12" s="1"/>
  <c r="B72" i="12"/>
  <c r="T71" i="12"/>
  <c r="P71" i="12"/>
  <c r="L71" i="12"/>
  <c r="H71" i="12"/>
  <c r="N71" i="12" s="1"/>
  <c r="D71" i="12"/>
  <c r="B71" i="12"/>
  <c r="X70" i="12"/>
  <c r="Z70" i="12" s="1"/>
  <c r="T70" i="12"/>
  <c r="P70" i="12"/>
  <c r="H70" i="12"/>
  <c r="D70" i="12"/>
  <c r="L70" i="12" s="1"/>
  <c r="N70" i="12" s="1"/>
  <c r="B70" i="12"/>
  <c r="T69" i="12"/>
  <c r="P69" i="12"/>
  <c r="H69" i="12"/>
  <c r="D69" i="12"/>
  <c r="B69" i="12"/>
  <c r="T68" i="12"/>
  <c r="Z68" i="12" s="1"/>
  <c r="P68" i="12"/>
  <c r="X68" i="12" s="1"/>
  <c r="H68" i="12"/>
  <c r="D68" i="12"/>
  <c r="L68" i="12" s="1"/>
  <c r="B68" i="12"/>
  <c r="T67" i="12"/>
  <c r="P67" i="12"/>
  <c r="X67" i="12" s="1"/>
  <c r="L67" i="12"/>
  <c r="H67" i="12"/>
  <c r="N67" i="12" s="1"/>
  <c r="D67" i="12"/>
  <c r="B67" i="12"/>
  <c r="X66" i="12"/>
  <c r="T66" i="12"/>
  <c r="Z66" i="12" s="1"/>
  <c r="P66" i="12"/>
  <c r="H66" i="12"/>
  <c r="D66" i="12"/>
  <c r="L66" i="12" s="1"/>
  <c r="N66" i="12" s="1"/>
  <c r="B66" i="12"/>
  <c r="Z65" i="12"/>
  <c r="X65" i="12"/>
  <c r="T65" i="12"/>
  <c r="P65" i="12"/>
  <c r="H65" i="12"/>
  <c r="D65" i="12"/>
  <c r="B65" i="12"/>
  <c r="T64" i="12"/>
  <c r="P64" i="12"/>
  <c r="X64" i="12" s="1"/>
  <c r="Z64" i="12" s="1"/>
  <c r="N64" i="12"/>
  <c r="H64" i="12"/>
  <c r="D64" i="12"/>
  <c r="L64" i="12" s="1"/>
  <c r="B64" i="12"/>
  <c r="X63" i="12"/>
  <c r="T63" i="12"/>
  <c r="Z63" i="12" s="1"/>
  <c r="P63" i="12"/>
  <c r="H63" i="12"/>
  <c r="N63" i="12" s="1"/>
  <c r="D63" i="12"/>
  <c r="L63" i="12" s="1"/>
  <c r="B63" i="12"/>
  <c r="T62" i="12"/>
  <c r="P62" i="12"/>
  <c r="X62" i="12" s="1"/>
  <c r="Z62" i="12" s="1"/>
  <c r="L62" i="12"/>
  <c r="H62" i="12"/>
  <c r="N62" i="12" s="1"/>
  <c r="D62" i="12"/>
  <c r="B62" i="12"/>
  <c r="T61" i="12"/>
  <c r="P61" i="12"/>
  <c r="N61" i="12"/>
  <c r="L61" i="12"/>
  <c r="H61" i="12"/>
  <c r="D61" i="12"/>
  <c r="B61" i="12"/>
  <c r="Z60" i="12"/>
  <c r="T60" i="12"/>
  <c r="P60" i="12"/>
  <c r="X60" i="12" s="1"/>
  <c r="N60" i="12"/>
  <c r="H60" i="12"/>
  <c r="D60" i="12"/>
  <c r="L60" i="12" s="1"/>
  <c r="B60" i="12"/>
  <c r="T59" i="12"/>
  <c r="P59" i="12"/>
  <c r="X59" i="12" s="1"/>
  <c r="L59" i="12"/>
  <c r="H59" i="12"/>
  <c r="N59" i="12" s="1"/>
  <c r="D59" i="12"/>
  <c r="B59" i="12"/>
  <c r="X58" i="12"/>
  <c r="T58" i="12"/>
  <c r="Z58" i="12" s="1"/>
  <c r="P58" i="12"/>
  <c r="H58" i="12"/>
  <c r="D58" i="12"/>
  <c r="L58" i="12" s="1"/>
  <c r="N58" i="12" s="1"/>
  <c r="B58" i="12"/>
  <c r="Z57" i="12"/>
  <c r="X57" i="12"/>
  <c r="T57" i="12"/>
  <c r="P57" i="12"/>
  <c r="H57" i="12"/>
  <c r="D57" i="12"/>
  <c r="B57" i="12"/>
  <c r="T56" i="12"/>
  <c r="P56" i="12"/>
  <c r="X56" i="12" s="1"/>
  <c r="Z56" i="12" s="1"/>
  <c r="H56" i="12"/>
  <c r="D56" i="12"/>
  <c r="L56" i="12" s="1"/>
  <c r="N56" i="12" s="1"/>
  <c r="B56" i="12"/>
  <c r="X55" i="12"/>
  <c r="T55" i="12"/>
  <c r="Z55" i="12" s="1"/>
  <c r="P55" i="12"/>
  <c r="H55" i="12"/>
  <c r="D55" i="12"/>
  <c r="L55" i="12" s="1"/>
  <c r="B55" i="12"/>
  <c r="T54" i="12"/>
  <c r="P54" i="12"/>
  <c r="X54" i="12" s="1"/>
  <c r="Z54" i="12" s="1"/>
  <c r="L54" i="12"/>
  <c r="H54" i="12"/>
  <c r="N54" i="12" s="1"/>
  <c r="D54" i="12"/>
  <c r="B54" i="12"/>
  <c r="T53" i="12"/>
  <c r="P53" i="12"/>
  <c r="N53" i="12"/>
  <c r="L53" i="12"/>
  <c r="H53" i="12"/>
  <c r="D53" i="12"/>
  <c r="B53" i="12"/>
  <c r="T52" i="12"/>
  <c r="P52" i="12"/>
  <c r="X52" i="12" s="1"/>
  <c r="Z52" i="12" s="1"/>
  <c r="H52" i="12"/>
  <c r="D52" i="12"/>
  <c r="L52" i="12" s="1"/>
  <c r="N52" i="12" s="1"/>
  <c r="B52" i="12"/>
  <c r="T51" i="12"/>
  <c r="P51" i="12"/>
  <c r="X51" i="12" s="1"/>
  <c r="L51" i="12"/>
  <c r="H51" i="12"/>
  <c r="N51" i="12" s="1"/>
  <c r="D51" i="12"/>
  <c r="B51" i="12"/>
  <c r="X50" i="12"/>
  <c r="T50" i="12"/>
  <c r="P50" i="12"/>
  <c r="N50" i="12"/>
  <c r="H50" i="12"/>
  <c r="D50" i="12"/>
  <c r="L50" i="12" s="1"/>
  <c r="B50" i="12"/>
  <c r="Z49" i="12"/>
  <c r="X49" i="12"/>
  <c r="T49" i="12"/>
  <c r="P49" i="12"/>
  <c r="H49" i="12"/>
  <c r="N49" i="12" s="1"/>
  <c r="D49" i="12"/>
  <c r="B49" i="12"/>
  <c r="T48" i="12"/>
  <c r="P48" i="12"/>
  <c r="X48" i="12" s="1"/>
  <c r="Z48" i="12" s="1"/>
  <c r="N48" i="12"/>
  <c r="H48" i="12"/>
  <c r="D48" i="12"/>
  <c r="L48" i="12" s="1"/>
  <c r="B48" i="12"/>
  <c r="X47" i="12"/>
  <c r="T47" i="12"/>
  <c r="Z47" i="12" s="1"/>
  <c r="P47" i="12"/>
  <c r="H47" i="12"/>
  <c r="N47" i="12" s="1"/>
  <c r="D47" i="12"/>
  <c r="L47" i="12" s="1"/>
  <c r="B47" i="12"/>
  <c r="T46" i="12"/>
  <c r="P46" i="12"/>
  <c r="X46" i="12" s="1"/>
  <c r="Z46" i="12" s="1"/>
  <c r="L46" i="12"/>
  <c r="H46" i="12"/>
  <c r="D46" i="12"/>
  <c r="B46" i="12"/>
  <c r="T45" i="12"/>
  <c r="P45" i="12"/>
  <c r="N45" i="12"/>
  <c r="L45" i="12"/>
  <c r="H45" i="12"/>
  <c r="D45" i="12"/>
  <c r="B45" i="12"/>
  <c r="T44" i="12"/>
  <c r="P44" i="12"/>
  <c r="X44" i="12" s="1"/>
  <c r="Z44" i="12" s="1"/>
  <c r="H44" i="12"/>
  <c r="D44" i="12"/>
  <c r="L44" i="12" s="1"/>
  <c r="N44" i="12" s="1"/>
  <c r="B44" i="12"/>
  <c r="T43" i="12"/>
  <c r="P43" i="12"/>
  <c r="L43" i="12"/>
  <c r="H43" i="12"/>
  <c r="N43" i="12" s="1"/>
  <c r="D43" i="12"/>
  <c r="B43" i="12"/>
  <c r="X42" i="12"/>
  <c r="T42" i="12"/>
  <c r="P42" i="12"/>
  <c r="H42" i="12"/>
  <c r="D42" i="12"/>
  <c r="L42" i="12" s="1"/>
  <c r="N42" i="12" s="1"/>
  <c r="B42" i="12"/>
  <c r="Z41" i="12"/>
  <c r="X41" i="12"/>
  <c r="T41" i="12"/>
  <c r="P41" i="12"/>
  <c r="H41" i="12"/>
  <c r="D41" i="12"/>
  <c r="B41" i="12"/>
  <c r="T40" i="12"/>
  <c r="P40" i="12"/>
  <c r="X40" i="12" s="1"/>
  <c r="Z40" i="12" s="1"/>
  <c r="H40" i="12"/>
  <c r="D40" i="12"/>
  <c r="L40" i="12" s="1"/>
  <c r="N40" i="12" s="1"/>
  <c r="B40" i="12"/>
  <c r="X39" i="12"/>
  <c r="T39" i="12"/>
  <c r="Z39" i="12" s="1"/>
  <c r="P39" i="12"/>
  <c r="H39" i="12"/>
  <c r="D39" i="12"/>
  <c r="L39" i="12" s="1"/>
  <c r="B39" i="12"/>
  <c r="T38" i="12"/>
  <c r="P38" i="12"/>
  <c r="X38" i="12" s="1"/>
  <c r="Z38" i="12" s="1"/>
  <c r="L38" i="12"/>
  <c r="H38" i="12"/>
  <c r="D38" i="12"/>
  <c r="B38" i="12"/>
  <c r="T37" i="12"/>
  <c r="P37" i="12"/>
  <c r="N37" i="12"/>
  <c r="L37" i="12"/>
  <c r="H37" i="12"/>
  <c r="D37" i="12"/>
  <c r="B37" i="12"/>
  <c r="T36" i="12"/>
  <c r="P36" i="12"/>
  <c r="X36" i="12" s="1"/>
  <c r="Z36" i="12" s="1"/>
  <c r="H36" i="12"/>
  <c r="D36" i="12"/>
  <c r="L36" i="12" s="1"/>
  <c r="N36" i="12" s="1"/>
  <c r="B36" i="12"/>
  <c r="T35" i="12"/>
  <c r="P35" i="12"/>
  <c r="L35" i="12"/>
  <c r="H35" i="12"/>
  <c r="N35" i="12" s="1"/>
  <c r="D35" i="12"/>
  <c r="B35" i="12"/>
  <c r="X34" i="12"/>
  <c r="T34" i="12"/>
  <c r="P34" i="12"/>
  <c r="N34" i="12"/>
  <c r="H34" i="12"/>
  <c r="D34" i="12"/>
  <c r="L34" i="12" s="1"/>
  <c r="B34" i="12"/>
  <c r="Z33" i="12"/>
  <c r="X33" i="12"/>
  <c r="T33" i="12"/>
  <c r="P33" i="12"/>
  <c r="H33" i="12"/>
  <c r="N33" i="12" s="1"/>
  <c r="D33" i="12"/>
  <c r="B33" i="12"/>
  <c r="T32" i="12"/>
  <c r="P32" i="12"/>
  <c r="X32" i="12" s="1"/>
  <c r="Z32" i="12" s="1"/>
  <c r="H32" i="12"/>
  <c r="D32" i="12"/>
  <c r="L32" i="12" s="1"/>
  <c r="N32" i="12" s="1"/>
  <c r="B32" i="12"/>
  <c r="X31" i="12"/>
  <c r="T31" i="12"/>
  <c r="Z31" i="12" s="1"/>
  <c r="P31" i="12"/>
  <c r="H31" i="12"/>
  <c r="D31" i="12"/>
  <c r="B31" i="12"/>
  <c r="T30" i="12"/>
  <c r="P30" i="12"/>
  <c r="X30" i="12" s="1"/>
  <c r="Z30" i="12" s="1"/>
  <c r="L30" i="12"/>
  <c r="H30" i="12"/>
  <c r="N30" i="12" s="1"/>
  <c r="D30" i="12"/>
  <c r="B30" i="12"/>
  <c r="T29" i="12"/>
  <c r="P29" i="12"/>
  <c r="N29" i="12"/>
  <c r="L29" i="12"/>
  <c r="H29" i="12"/>
  <c r="D29" i="12"/>
  <c r="B29" i="12"/>
  <c r="T28" i="12"/>
  <c r="P28" i="12"/>
  <c r="X28" i="12" s="1"/>
  <c r="Z28" i="12" s="1"/>
  <c r="H28" i="12"/>
  <c r="D28" i="12"/>
  <c r="L28" i="12" s="1"/>
  <c r="N28" i="12" s="1"/>
  <c r="B28" i="12"/>
  <c r="T27" i="12"/>
  <c r="P27" i="12"/>
  <c r="X27" i="12" s="1"/>
  <c r="L27" i="12"/>
  <c r="H27" i="12"/>
  <c r="N27" i="12" s="1"/>
  <c r="D27" i="12"/>
  <c r="B27" i="12"/>
  <c r="X26" i="12"/>
  <c r="T26" i="12"/>
  <c r="Z26" i="12" s="1"/>
  <c r="P26" i="12"/>
  <c r="N26" i="12"/>
  <c r="H26" i="12"/>
  <c r="D26" i="12"/>
  <c r="L26" i="12" s="1"/>
  <c r="B26" i="12"/>
  <c r="Z25" i="12"/>
  <c r="X25" i="12"/>
  <c r="T25" i="12"/>
  <c r="P25" i="12"/>
  <c r="H25" i="12"/>
  <c r="N25" i="12" s="1"/>
  <c r="D25" i="12"/>
  <c r="B25" i="12"/>
  <c r="T24" i="12"/>
  <c r="P24" i="12"/>
  <c r="X24" i="12" s="1"/>
  <c r="Z24" i="12" s="1"/>
  <c r="H24" i="12"/>
  <c r="D24" i="12"/>
  <c r="L24" i="12" s="1"/>
  <c r="N24" i="12" s="1"/>
  <c r="B24" i="12"/>
  <c r="X23" i="12"/>
  <c r="T23" i="12"/>
  <c r="Z23" i="12" s="1"/>
  <c r="P23" i="12"/>
  <c r="H23" i="12"/>
  <c r="D23" i="12"/>
  <c r="L23" i="12" s="1"/>
  <c r="B23" i="12"/>
  <c r="T22" i="12"/>
  <c r="P22" i="12"/>
  <c r="X22" i="12" s="1"/>
  <c r="Z22" i="12" s="1"/>
  <c r="L22" i="12"/>
  <c r="H22" i="12"/>
  <c r="N22" i="12" s="1"/>
  <c r="D22" i="12"/>
  <c r="B22" i="12"/>
  <c r="T21" i="12"/>
  <c r="P21" i="12"/>
  <c r="N21" i="12"/>
  <c r="L21" i="12"/>
  <c r="H21" i="12"/>
  <c r="D21" i="12"/>
  <c r="B21" i="12"/>
  <c r="T20" i="12"/>
  <c r="P20" i="12"/>
  <c r="X20" i="12" s="1"/>
  <c r="Z20" i="12" s="1"/>
  <c r="H20" i="12"/>
  <c r="D20" i="12"/>
  <c r="L20" i="12" s="1"/>
  <c r="N20" i="12" s="1"/>
  <c r="B20" i="12"/>
  <c r="T19" i="12"/>
  <c r="P19" i="12"/>
  <c r="X19" i="12" s="1"/>
  <c r="L19" i="12"/>
  <c r="H19" i="12"/>
  <c r="N19" i="12" s="1"/>
  <c r="D19" i="12"/>
  <c r="B19" i="12"/>
  <c r="X18" i="12"/>
  <c r="T18" i="12"/>
  <c r="P18" i="12"/>
  <c r="H18" i="12"/>
  <c r="D18" i="12"/>
  <c r="L18" i="12" s="1"/>
  <c r="N18" i="12" s="1"/>
  <c r="B18" i="12"/>
  <c r="Z17" i="12"/>
  <c r="X17" i="12"/>
  <c r="T17" i="12"/>
  <c r="P17" i="12"/>
  <c r="H17" i="12"/>
  <c r="D17" i="12"/>
  <c r="B17" i="12"/>
  <c r="T16" i="12"/>
  <c r="P16" i="12"/>
  <c r="X16" i="12" s="1"/>
  <c r="Z16" i="12" s="1"/>
  <c r="H16" i="12"/>
  <c r="D16" i="12"/>
  <c r="L16" i="12" s="1"/>
  <c r="N16" i="12" s="1"/>
  <c r="B16" i="12"/>
  <c r="X15" i="12"/>
  <c r="T15" i="12"/>
  <c r="Z15" i="12" s="1"/>
  <c r="P15" i="12"/>
  <c r="H15" i="12"/>
  <c r="D15" i="12"/>
  <c r="L15" i="12" s="1"/>
  <c r="B15" i="12"/>
  <c r="T14" i="12"/>
  <c r="P14" i="12"/>
  <c r="X14" i="12" s="1"/>
  <c r="Z14" i="12" s="1"/>
  <c r="L14" i="12"/>
  <c r="H14" i="12"/>
  <c r="D14" i="12"/>
  <c r="B14" i="12"/>
  <c r="T13" i="12"/>
  <c r="P13" i="12"/>
  <c r="N13" i="12"/>
  <c r="L13" i="12"/>
  <c r="H13" i="12"/>
  <c r="D13" i="12"/>
  <c r="B13" i="12"/>
  <c r="D4" i="12"/>
  <c r="B39" i="11"/>
  <c r="B38" i="11"/>
  <c r="T34" i="11"/>
  <c r="Z34" i="11" s="1"/>
  <c r="P34" i="11"/>
  <c r="H34" i="11"/>
  <c r="N34" i="11" s="1"/>
  <c r="D34" i="11"/>
  <c r="T33" i="11"/>
  <c r="P33" i="11"/>
  <c r="H33" i="11"/>
  <c r="N33" i="11" s="1"/>
  <c r="D33" i="11"/>
  <c r="T29" i="11"/>
  <c r="Z29" i="11" s="1"/>
  <c r="P29" i="11"/>
  <c r="H29" i="11"/>
  <c r="N29" i="11" s="1"/>
  <c r="D29" i="11"/>
  <c r="T25" i="11"/>
  <c r="P25" i="11"/>
  <c r="H25" i="11"/>
  <c r="N25" i="11" s="1"/>
  <c r="D25" i="11"/>
  <c r="B25" i="11"/>
  <c r="T24" i="1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4" i="11" s="1"/>
  <c r="P12" i="11"/>
  <c r="R31" i="11" s="1"/>
  <c r="H12" i="11"/>
  <c r="J34" i="11" s="1"/>
  <c r="D12" i="11"/>
  <c r="F34" i="11" s="1"/>
  <c r="D5" i="11"/>
  <c r="D4" i="11"/>
  <c r="B39" i="10"/>
  <c r="B38" i="10"/>
  <c r="T34" i="10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P12" i="10"/>
  <c r="R18" i="10" s="1"/>
  <c r="H12" i="10"/>
  <c r="J20" i="10" s="1"/>
  <c r="D12" i="10"/>
  <c r="F22" i="10" s="1"/>
  <c r="D5" i="10"/>
  <c r="D4" i="10"/>
  <c r="J96" i="9"/>
  <c r="R93" i="9"/>
  <c r="Z91" i="9"/>
  <c r="X91" i="9"/>
  <c r="N91" i="9"/>
  <c r="L91" i="9"/>
  <c r="J89" i="9"/>
  <c r="Z87" i="9"/>
  <c r="T87" i="9"/>
  <c r="R87" i="9"/>
  <c r="P87" i="9"/>
  <c r="X87" i="9" s="1"/>
  <c r="L87" i="9"/>
  <c r="H87" i="9"/>
  <c r="N87" i="9" s="1"/>
  <c r="D87" i="9"/>
  <c r="Z85" i="9"/>
  <c r="X85" i="9"/>
  <c r="L85" i="9"/>
  <c r="N85" i="9" s="1"/>
  <c r="B85" i="9"/>
  <c r="Z84" i="9"/>
  <c r="X84" i="9"/>
  <c r="N84" i="9"/>
  <c r="L84" i="9"/>
  <c r="F84" i="9"/>
  <c r="B84" i="9"/>
  <c r="X83" i="9"/>
  <c r="T83" i="9"/>
  <c r="Z83" i="9" s="1"/>
  <c r="P83" i="9"/>
  <c r="H83" i="9"/>
  <c r="L83" i="9" s="1"/>
  <c r="N83" i="9" s="1"/>
  <c r="D83" i="9"/>
  <c r="B83" i="9"/>
  <c r="X82" i="9"/>
  <c r="Z82" i="9" s="1"/>
  <c r="N82" i="9"/>
  <c r="L82" i="9"/>
  <c r="B82" i="9"/>
  <c r="T81" i="9"/>
  <c r="X81" i="9" s="1"/>
  <c r="Z81" i="9" s="1"/>
  <c r="P81" i="9"/>
  <c r="J81" i="9"/>
  <c r="H81" i="9"/>
  <c r="N81" i="9" s="1"/>
  <c r="D81" i="9"/>
  <c r="L81" i="9" s="1"/>
  <c r="B81" i="9"/>
  <c r="Z80" i="9"/>
  <c r="X80" i="9"/>
  <c r="R80" i="9"/>
  <c r="N80" i="9"/>
  <c r="L80" i="9"/>
  <c r="B80" i="9"/>
  <c r="Z79" i="9"/>
  <c r="X79" i="9"/>
  <c r="V79" i="9"/>
  <c r="L79" i="9"/>
  <c r="N79" i="9" s="1"/>
  <c r="B79" i="9"/>
  <c r="X78" i="9"/>
  <c r="Z78" i="9" s="1"/>
  <c r="T78" i="9"/>
  <c r="P78" i="9"/>
  <c r="H78" i="9"/>
  <c r="D78" i="9"/>
  <c r="B78" i="9"/>
  <c r="Z77" i="9"/>
  <c r="X77" i="9"/>
  <c r="N77" i="9"/>
  <c r="L77" i="9"/>
  <c r="B77" i="9"/>
  <c r="Z76" i="9"/>
  <c r="X76" i="9"/>
  <c r="R76" i="9"/>
  <c r="N76" i="9"/>
  <c r="L76" i="9"/>
  <c r="B76" i="9"/>
  <c r="Z75" i="9"/>
  <c r="X75" i="9"/>
  <c r="V75" i="9"/>
  <c r="L75" i="9"/>
  <c r="N75" i="9" s="1"/>
  <c r="B75" i="9"/>
  <c r="X74" i="9"/>
  <c r="Z74" i="9" s="1"/>
  <c r="N74" i="9"/>
  <c r="L74" i="9"/>
  <c r="B74" i="9"/>
  <c r="Z73" i="9"/>
  <c r="X73" i="9"/>
  <c r="N73" i="9"/>
  <c r="L73" i="9"/>
  <c r="B73" i="9"/>
  <c r="T72" i="9"/>
  <c r="P72" i="9"/>
  <c r="X72" i="9" s="1"/>
  <c r="Z72" i="9" s="1"/>
  <c r="L72" i="9"/>
  <c r="N72" i="9" s="1"/>
  <c r="H72" i="9"/>
  <c r="D72" i="9"/>
  <c r="B72" i="9"/>
  <c r="Z71" i="9"/>
  <c r="X71" i="9"/>
  <c r="V71" i="9"/>
  <c r="N71" i="9"/>
  <c r="L71" i="9"/>
  <c r="B71" i="9"/>
  <c r="X70" i="9"/>
  <c r="Z70" i="9" s="1"/>
  <c r="T70" i="9"/>
  <c r="P70" i="9"/>
  <c r="H70" i="9"/>
  <c r="D70" i="9"/>
  <c r="B70" i="9"/>
  <c r="X69" i="9"/>
  <c r="Z69" i="9" s="1"/>
  <c r="N69" i="9"/>
  <c r="L69" i="9"/>
  <c r="B69" i="9"/>
  <c r="T68" i="9"/>
  <c r="P68" i="9"/>
  <c r="H68" i="9"/>
  <c r="D68" i="9"/>
  <c r="L68" i="9" s="1"/>
  <c r="N68" i="9" s="1"/>
  <c r="B68" i="9"/>
  <c r="X67" i="9"/>
  <c r="Z67" i="9" s="1"/>
  <c r="N67" i="9"/>
  <c r="L67" i="9"/>
  <c r="J67" i="9"/>
  <c r="B67" i="9"/>
  <c r="Z66" i="9"/>
  <c r="X66" i="9"/>
  <c r="L66" i="9"/>
  <c r="N66" i="9" s="1"/>
  <c r="B66" i="9"/>
  <c r="Z65" i="9"/>
  <c r="X65" i="9"/>
  <c r="N65" i="9"/>
  <c r="L65" i="9"/>
  <c r="B65" i="9"/>
  <c r="Z64" i="9"/>
  <c r="X64" i="9"/>
  <c r="R64" i="9"/>
  <c r="N64" i="9"/>
  <c r="L64" i="9"/>
  <c r="B64" i="9"/>
  <c r="V63" i="9"/>
  <c r="T63" i="9"/>
  <c r="Z63" i="9" s="1"/>
  <c r="P63" i="9"/>
  <c r="X63" i="9" s="1"/>
  <c r="L63" i="9"/>
  <c r="N63" i="9" s="1"/>
  <c r="H63" i="9"/>
  <c r="F63" i="9"/>
  <c r="D63" i="9"/>
  <c r="B63" i="9"/>
  <c r="Z62" i="9"/>
  <c r="X62" i="9"/>
  <c r="L62" i="9"/>
  <c r="N62" i="9" s="1"/>
  <c r="B62" i="9"/>
  <c r="X61" i="9"/>
  <c r="Z61" i="9" s="1"/>
  <c r="N61" i="9"/>
  <c r="L61" i="9"/>
  <c r="B61" i="9"/>
  <c r="Z60" i="9"/>
  <c r="X60" i="9"/>
  <c r="R60" i="9"/>
  <c r="N60" i="9"/>
  <c r="L60" i="9"/>
  <c r="B60" i="9"/>
  <c r="V59" i="9"/>
  <c r="T59" i="9"/>
  <c r="P59" i="9"/>
  <c r="X59" i="9" s="1"/>
  <c r="L59" i="9"/>
  <c r="N59" i="9" s="1"/>
  <c r="H59" i="9"/>
  <c r="F59" i="9"/>
  <c r="D59" i="9"/>
  <c r="B59" i="9"/>
  <c r="Z58" i="9"/>
  <c r="X58" i="9"/>
  <c r="L58" i="9"/>
  <c r="N58" i="9" s="1"/>
  <c r="B58" i="9"/>
  <c r="X57" i="9"/>
  <c r="Z57" i="9" s="1"/>
  <c r="T57" i="9"/>
  <c r="R57" i="9"/>
  <c r="P57" i="9"/>
  <c r="L57" i="9"/>
  <c r="H57" i="9"/>
  <c r="N57" i="9" s="1"/>
  <c r="D57" i="9"/>
  <c r="B57" i="9"/>
  <c r="Z56" i="9"/>
  <c r="X56" i="9"/>
  <c r="N56" i="9"/>
  <c r="L56" i="9"/>
  <c r="F56" i="9"/>
  <c r="B56" i="9"/>
  <c r="X55" i="9"/>
  <c r="T55" i="9"/>
  <c r="Z55" i="9" s="1"/>
  <c r="P55" i="9"/>
  <c r="H55" i="9"/>
  <c r="D55" i="9"/>
  <c r="L55" i="9" s="1"/>
  <c r="N55" i="9" s="1"/>
  <c r="B55" i="9"/>
  <c r="X54" i="9"/>
  <c r="Z54" i="9" s="1"/>
  <c r="N54" i="9"/>
  <c r="L54" i="9"/>
  <c r="B54" i="9"/>
  <c r="Z53" i="9"/>
  <c r="X53" i="9"/>
  <c r="N53" i="9"/>
  <c r="L53" i="9"/>
  <c r="B53" i="9"/>
  <c r="T52" i="9"/>
  <c r="P52" i="9"/>
  <c r="X52" i="9" s="1"/>
  <c r="Z52" i="9" s="1"/>
  <c r="L52" i="9"/>
  <c r="N52" i="9" s="1"/>
  <c r="H52" i="9"/>
  <c r="D52" i="9"/>
  <c r="B52" i="9"/>
  <c r="Z51" i="9"/>
  <c r="X51" i="9"/>
  <c r="V51" i="9"/>
  <c r="L51" i="9"/>
  <c r="N51" i="9" s="1"/>
  <c r="B51" i="9"/>
  <c r="X50" i="9"/>
  <c r="T50" i="9"/>
  <c r="P50" i="9"/>
  <c r="H50" i="9"/>
  <c r="D50" i="9"/>
  <c r="B50" i="9"/>
  <c r="X49" i="9"/>
  <c r="Z49" i="9" s="1"/>
  <c r="N49" i="9"/>
  <c r="L49" i="9"/>
  <c r="B49" i="9"/>
  <c r="T48" i="9"/>
  <c r="P48" i="9"/>
  <c r="N48" i="9"/>
  <c r="H48" i="9"/>
  <c r="D48" i="9"/>
  <c r="L48" i="9" s="1"/>
  <c r="B48" i="9"/>
  <c r="X47" i="9"/>
  <c r="Z47" i="9" s="1"/>
  <c r="N47" i="9"/>
  <c r="L47" i="9"/>
  <c r="J47" i="9"/>
  <c r="B47" i="9"/>
  <c r="T46" i="9"/>
  <c r="P46" i="9"/>
  <c r="X46" i="9" s="1"/>
  <c r="Z46" i="9" s="1"/>
  <c r="H46" i="9"/>
  <c r="N46" i="9" s="1"/>
  <c r="D46" i="9"/>
  <c r="L46" i="9" s="1"/>
  <c r="B46" i="9"/>
  <c r="Z45" i="9"/>
  <c r="X45" i="9"/>
  <c r="L45" i="9"/>
  <c r="N45" i="9" s="1"/>
  <c r="B45" i="9"/>
  <c r="T44" i="9"/>
  <c r="Z44" i="9" s="1"/>
  <c r="P44" i="9"/>
  <c r="X44" i="9" s="1"/>
  <c r="L44" i="9"/>
  <c r="H44" i="9"/>
  <c r="N44" i="9" s="1"/>
  <c r="D44" i="9"/>
  <c r="B44" i="9"/>
  <c r="Z43" i="9"/>
  <c r="X43" i="9"/>
  <c r="V43" i="9"/>
  <c r="L43" i="9"/>
  <c r="N43" i="9" s="1"/>
  <c r="B43" i="9"/>
  <c r="X42" i="9"/>
  <c r="T42" i="9"/>
  <c r="P42" i="9"/>
  <c r="H42" i="9"/>
  <c r="D42" i="9"/>
  <c r="B42" i="9"/>
  <c r="X41" i="9"/>
  <c r="Z41" i="9" s="1"/>
  <c r="N41" i="9"/>
  <c r="L41" i="9"/>
  <c r="B41" i="9"/>
  <c r="T40" i="9"/>
  <c r="P40" i="9"/>
  <c r="H40" i="9"/>
  <c r="D40" i="9"/>
  <c r="L40" i="9" s="1"/>
  <c r="N40" i="9" s="1"/>
  <c r="B40" i="9"/>
  <c r="X39" i="9"/>
  <c r="Z39" i="9" s="1"/>
  <c r="N39" i="9"/>
  <c r="L39" i="9"/>
  <c r="J39" i="9"/>
  <c r="B39" i="9"/>
  <c r="T38" i="9"/>
  <c r="P38" i="9"/>
  <c r="X38" i="9" s="1"/>
  <c r="Z38" i="9" s="1"/>
  <c r="H38" i="9"/>
  <c r="D38" i="9"/>
  <c r="L38" i="9" s="1"/>
  <c r="B38" i="9"/>
  <c r="Z37" i="9"/>
  <c r="X37" i="9"/>
  <c r="R37" i="9"/>
  <c r="L37" i="9"/>
  <c r="N37" i="9" s="1"/>
  <c r="B37" i="9"/>
  <c r="Z36" i="9"/>
  <c r="X36" i="9"/>
  <c r="N36" i="9"/>
  <c r="L36" i="9"/>
  <c r="F36" i="9"/>
  <c r="B36" i="9"/>
  <c r="X35" i="9"/>
  <c r="Z35" i="9" s="1"/>
  <c r="R35" i="9"/>
  <c r="N35" i="9"/>
  <c r="L35" i="9"/>
  <c r="J35" i="9"/>
  <c r="B35" i="9"/>
  <c r="Z34" i="9"/>
  <c r="X34" i="9"/>
  <c r="L34" i="9"/>
  <c r="N34" i="9" s="1"/>
  <c r="B34" i="9"/>
  <c r="X33" i="9"/>
  <c r="Z33" i="9" s="1"/>
  <c r="N33" i="9"/>
  <c r="L33" i="9"/>
  <c r="B33" i="9"/>
  <c r="Z32" i="9"/>
  <c r="X32" i="9"/>
  <c r="R32" i="9"/>
  <c r="N32" i="9"/>
  <c r="L32" i="9"/>
  <c r="B32" i="9"/>
  <c r="V31" i="9"/>
  <c r="T31" i="9"/>
  <c r="Z31" i="9" s="1"/>
  <c r="P31" i="9"/>
  <c r="X31" i="9" s="1"/>
  <c r="L31" i="9"/>
  <c r="N31" i="9" s="1"/>
  <c r="H31" i="9"/>
  <c r="F31" i="9"/>
  <c r="D31" i="9"/>
  <c r="B31" i="9"/>
  <c r="Z30" i="9"/>
  <c r="X30" i="9"/>
  <c r="R30" i="9"/>
  <c r="L30" i="9"/>
  <c r="N30" i="9" s="1"/>
  <c r="B30" i="9"/>
  <c r="X29" i="9"/>
  <c r="Z29" i="9" s="1"/>
  <c r="N29" i="9"/>
  <c r="L29" i="9"/>
  <c r="B29" i="9"/>
  <c r="Z28" i="9"/>
  <c r="X28" i="9"/>
  <c r="R28" i="9"/>
  <c r="N28" i="9"/>
  <c r="L28" i="9"/>
  <c r="B28" i="9"/>
  <c r="Z27" i="9"/>
  <c r="X27" i="9"/>
  <c r="V27" i="9"/>
  <c r="R27" i="9"/>
  <c r="L27" i="9"/>
  <c r="N27" i="9" s="1"/>
  <c r="B27" i="9"/>
  <c r="X26" i="9"/>
  <c r="Z26" i="9" s="1"/>
  <c r="N26" i="9"/>
  <c r="L26" i="9"/>
  <c r="B26" i="9"/>
  <c r="Z25" i="9"/>
  <c r="X25" i="9"/>
  <c r="R25" i="9"/>
  <c r="N25" i="9"/>
  <c r="L25" i="9"/>
  <c r="B25" i="9"/>
  <c r="Z24" i="9"/>
  <c r="X24" i="9"/>
  <c r="R24" i="9"/>
  <c r="N24" i="9"/>
  <c r="L24" i="9"/>
  <c r="F24" i="9"/>
  <c r="B24" i="9"/>
  <c r="X23" i="9"/>
  <c r="Z23" i="9" s="1"/>
  <c r="R23" i="9"/>
  <c r="N23" i="9"/>
  <c r="L23" i="9"/>
  <c r="J23" i="9"/>
  <c r="B23" i="9"/>
  <c r="Z22" i="9"/>
  <c r="X22" i="9"/>
  <c r="R22" i="9"/>
  <c r="L22" i="9"/>
  <c r="N22" i="9" s="1"/>
  <c r="B22" i="9"/>
  <c r="X21" i="9"/>
  <c r="Z21" i="9" s="1"/>
  <c r="N21" i="9"/>
  <c r="L21" i="9"/>
  <c r="B21" i="9"/>
  <c r="Z20" i="9"/>
  <c r="X20" i="9"/>
  <c r="R20" i="9"/>
  <c r="N20" i="9"/>
  <c r="L20" i="9"/>
  <c r="B20" i="9"/>
  <c r="V19" i="9"/>
  <c r="T19" i="9"/>
  <c r="P19" i="9"/>
  <c r="X19" i="9" s="1"/>
  <c r="L19" i="9"/>
  <c r="N19" i="9" s="1"/>
  <c r="H19" i="9"/>
  <c r="F19" i="9"/>
  <c r="D19" i="9"/>
  <c r="B19" i="9"/>
  <c r="V18" i="9"/>
  <c r="T18" i="9"/>
  <c r="P18" i="9"/>
  <c r="X18" i="9" s="1"/>
  <c r="H18" i="9"/>
  <c r="D18" i="9"/>
  <c r="L18" i="9" s="1"/>
  <c r="R16" i="9"/>
  <c r="H16" i="9"/>
  <c r="V14" i="9"/>
  <c r="T14" i="9"/>
  <c r="Z14" i="9" s="1"/>
  <c r="P14" i="9"/>
  <c r="J14" i="9"/>
  <c r="H14" i="9"/>
  <c r="N14" i="9" s="1"/>
  <c r="D14" i="9"/>
  <c r="L14" i="9" s="1"/>
  <c r="X12" i="9"/>
  <c r="T12" i="9"/>
  <c r="V83" i="9" s="1"/>
  <c r="P12" i="9"/>
  <c r="R96" i="9" s="1"/>
  <c r="N12" i="9"/>
  <c r="H12" i="9"/>
  <c r="J93" i="9" s="1"/>
  <c r="D12" i="9"/>
  <c r="F83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P20" i="8"/>
  <c r="H20" i="8"/>
  <c r="N20" i="8" s="1"/>
  <c r="D20" i="8"/>
  <c r="T16" i="8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6" i="8" s="1"/>
  <c r="P12" i="8"/>
  <c r="R22" i="8" s="1"/>
  <c r="H12" i="8"/>
  <c r="J20" i="8" s="1"/>
  <c r="D12" i="8"/>
  <c r="F36" i="8" s="1"/>
  <c r="D5" i="8"/>
  <c r="D4" i="8"/>
  <c r="B39" i="7"/>
  <c r="B38" i="7"/>
  <c r="T34" i="7"/>
  <c r="Z34" i="7" s="1"/>
  <c r="P34" i="7"/>
  <c r="H34" i="7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6" i="7" s="1"/>
  <c r="P12" i="7"/>
  <c r="R24" i="7" s="1"/>
  <c r="H12" i="7"/>
  <c r="J22" i="7" s="1"/>
  <c r="D12" i="7"/>
  <c r="F36" i="7" s="1"/>
  <c r="D5" i="7"/>
  <c r="D4" i="7"/>
  <c r="R31" i="6"/>
  <c r="V29" i="6"/>
  <c r="T29" i="6"/>
  <c r="P29" i="6"/>
  <c r="X29" i="6" s="1"/>
  <c r="Z29" i="6" s="1"/>
  <c r="L29" i="6"/>
  <c r="N29" i="6" s="1"/>
  <c r="J29" i="6"/>
  <c r="H29" i="6"/>
  <c r="F29" i="6"/>
  <c r="D29" i="6"/>
  <c r="T28" i="6"/>
  <c r="R28" i="6"/>
  <c r="P28" i="6"/>
  <c r="H28" i="6"/>
  <c r="D28" i="6"/>
  <c r="L28" i="6" s="1"/>
  <c r="N28" i="6" s="1"/>
  <c r="J26" i="6"/>
  <c r="F26" i="6"/>
  <c r="Z24" i="6"/>
  <c r="X24" i="6"/>
  <c r="R24" i="6"/>
  <c r="N24" i="6"/>
  <c r="L24" i="6"/>
  <c r="J24" i="6"/>
  <c r="R22" i="6"/>
  <c r="Z20" i="6"/>
  <c r="T20" i="6"/>
  <c r="P20" i="6"/>
  <c r="X20" i="6" s="1"/>
  <c r="N20" i="6"/>
  <c r="L20" i="6"/>
  <c r="J20" i="6"/>
  <c r="H20" i="6"/>
  <c r="F20" i="6"/>
  <c r="D20" i="6"/>
  <c r="T18" i="6"/>
  <c r="Z18" i="6" s="1"/>
  <c r="R18" i="6"/>
  <c r="P18" i="6"/>
  <c r="N18" i="6"/>
  <c r="H18" i="6"/>
  <c r="D18" i="6"/>
  <c r="L18" i="6" s="1"/>
  <c r="V16" i="6"/>
  <c r="J16" i="6"/>
  <c r="F16" i="6"/>
  <c r="T14" i="6"/>
  <c r="Z14" i="6" s="1"/>
  <c r="R14" i="6"/>
  <c r="P14" i="6"/>
  <c r="N14" i="6"/>
  <c r="H14" i="6"/>
  <c r="D14" i="6"/>
  <c r="L14" i="6" s="1"/>
  <c r="T12" i="6"/>
  <c r="P12" i="6"/>
  <c r="X12" i="6" s="1"/>
  <c r="H12" i="6"/>
  <c r="H16" i="6" s="1"/>
  <c r="D12" i="6"/>
  <c r="F31" i="6" s="1"/>
  <c r="D4" i="6"/>
  <c r="B39" i="5"/>
  <c r="B38" i="5"/>
  <c r="T34" i="5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4" i="5" s="1"/>
  <c r="P12" i="5"/>
  <c r="R36" i="5" s="1"/>
  <c r="H12" i="5"/>
  <c r="J20" i="5" s="1"/>
  <c r="D12" i="5"/>
  <c r="F22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P20" i="4"/>
  <c r="H20" i="4"/>
  <c r="N20" i="4" s="1"/>
  <c r="D20" i="4"/>
  <c r="T16" i="4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36" i="4" s="1"/>
  <c r="P12" i="4"/>
  <c r="R22" i="4" s="1"/>
  <c r="H12" i="4"/>
  <c r="J20" i="4" s="1"/>
  <c r="D12" i="4"/>
  <c r="F36" i="4" s="1"/>
  <c r="D5" i="4"/>
  <c r="D4" i="4"/>
  <c r="T269" i="3"/>
  <c r="P269" i="3"/>
  <c r="H269" i="3"/>
  <c r="N269" i="3" s="1"/>
  <c r="D269" i="3"/>
  <c r="L269" i="3" s="1"/>
  <c r="T268" i="3"/>
  <c r="Z268" i="3" s="1"/>
  <c r="P268" i="3"/>
  <c r="X268" i="3" s="1"/>
  <c r="L268" i="3"/>
  <c r="N268" i="3" s="1"/>
  <c r="H268" i="3"/>
  <c r="D268" i="3"/>
  <c r="Z264" i="3"/>
  <c r="X264" i="3"/>
  <c r="L264" i="3"/>
  <c r="N264" i="3" s="1"/>
  <c r="T260" i="3"/>
  <c r="P260" i="3"/>
  <c r="H260" i="3"/>
  <c r="N260" i="3" s="1"/>
  <c r="D260" i="3"/>
  <c r="L260" i="3" s="1"/>
  <c r="B260" i="3"/>
  <c r="T259" i="3"/>
  <c r="P259" i="3"/>
  <c r="N259" i="3"/>
  <c r="H259" i="3"/>
  <c r="D259" i="3"/>
  <c r="L259" i="3" s="1"/>
  <c r="B259" i="3"/>
  <c r="X258" i="3"/>
  <c r="T258" i="3"/>
  <c r="Z258" i="3" s="1"/>
  <c r="P258" i="3"/>
  <c r="H258" i="3"/>
  <c r="D258" i="3"/>
  <c r="B258" i="3"/>
  <c r="X257" i="3"/>
  <c r="Z257" i="3" s="1"/>
  <c r="T257" i="3"/>
  <c r="P257" i="3"/>
  <c r="H257" i="3"/>
  <c r="D257" i="3"/>
  <c r="B257" i="3"/>
  <c r="T256" i="3"/>
  <c r="P256" i="3"/>
  <c r="X256" i="3" s="1"/>
  <c r="L256" i="3"/>
  <c r="H256" i="3"/>
  <c r="D256" i="3"/>
  <c r="B256" i="3"/>
  <c r="T255" i="3"/>
  <c r="P255" i="3"/>
  <c r="X255" i="3" s="1"/>
  <c r="Z255" i="3" s="1"/>
  <c r="L255" i="3"/>
  <c r="N255" i="3" s="1"/>
  <c r="H255" i="3"/>
  <c r="D255" i="3"/>
  <c r="B255" i="3"/>
  <c r="T254" i="3"/>
  <c r="Z254" i="3" s="1"/>
  <c r="P254" i="3"/>
  <c r="X254" i="3" s="1"/>
  <c r="H254" i="3"/>
  <c r="N254" i="3" s="1"/>
  <c r="D254" i="3"/>
  <c r="L254" i="3" s="1"/>
  <c r="B254" i="3"/>
  <c r="T253" i="3"/>
  <c r="P253" i="3"/>
  <c r="X253" i="3" s="1"/>
  <c r="Z253" i="3" s="1"/>
  <c r="H253" i="3"/>
  <c r="D253" i="3"/>
  <c r="L253" i="3" s="1"/>
  <c r="N253" i="3" s="1"/>
  <c r="B253" i="3"/>
  <c r="T252" i="3"/>
  <c r="D252" i="3"/>
  <c r="X250" i="3"/>
  <c r="Z250" i="3" s="1"/>
  <c r="L250" i="3"/>
  <c r="N250" i="3" s="1"/>
  <c r="B250" i="3"/>
  <c r="T249" i="3"/>
  <c r="P249" i="3"/>
  <c r="N249" i="3"/>
  <c r="H249" i="3"/>
  <c r="D249" i="3"/>
  <c r="L249" i="3" s="1"/>
  <c r="B249" i="3"/>
  <c r="X248" i="3"/>
  <c r="Z248" i="3" s="1"/>
  <c r="N248" i="3"/>
  <c r="L248" i="3"/>
  <c r="B248" i="3"/>
  <c r="Z247" i="3"/>
  <c r="X247" i="3"/>
  <c r="L247" i="3"/>
  <c r="N247" i="3" s="1"/>
  <c r="B247" i="3"/>
  <c r="Z246" i="3"/>
  <c r="X246" i="3"/>
  <c r="N246" i="3"/>
  <c r="L246" i="3"/>
  <c r="B246" i="3"/>
  <c r="T245" i="3"/>
  <c r="P245" i="3"/>
  <c r="N245" i="3"/>
  <c r="H245" i="3"/>
  <c r="D245" i="3"/>
  <c r="L245" i="3" s="1"/>
  <c r="B245" i="3"/>
  <c r="X244" i="3"/>
  <c r="Z244" i="3" s="1"/>
  <c r="N244" i="3"/>
  <c r="L244" i="3"/>
  <c r="B244" i="3"/>
  <c r="Z243" i="3"/>
  <c r="T243" i="3"/>
  <c r="P243" i="3"/>
  <c r="X243" i="3" s="1"/>
  <c r="N243" i="3"/>
  <c r="H243" i="3"/>
  <c r="D243" i="3"/>
  <c r="L243" i="3" s="1"/>
  <c r="B243" i="3"/>
  <c r="X242" i="3"/>
  <c r="Z242" i="3" s="1"/>
  <c r="N242" i="3"/>
  <c r="L242" i="3"/>
  <c r="B242" i="3"/>
  <c r="Z241" i="3"/>
  <c r="X241" i="3"/>
  <c r="L241" i="3"/>
  <c r="N241" i="3" s="1"/>
  <c r="B241" i="3"/>
  <c r="X240" i="3"/>
  <c r="Z240" i="3" s="1"/>
  <c r="T240" i="3"/>
  <c r="P240" i="3"/>
  <c r="H240" i="3"/>
  <c r="D240" i="3"/>
  <c r="B240" i="3"/>
  <c r="X239" i="3"/>
  <c r="Z239" i="3" s="1"/>
  <c r="N239" i="3"/>
  <c r="L239" i="3"/>
  <c r="B239" i="3"/>
  <c r="X238" i="3"/>
  <c r="Z238" i="3" s="1"/>
  <c r="N238" i="3"/>
  <c r="L238" i="3"/>
  <c r="B238" i="3"/>
  <c r="Z237" i="3"/>
  <c r="X237" i="3"/>
  <c r="N237" i="3"/>
  <c r="L237" i="3"/>
  <c r="B237" i="3"/>
  <c r="X236" i="3"/>
  <c r="Z236" i="3" s="1"/>
  <c r="L236" i="3"/>
  <c r="N236" i="3" s="1"/>
  <c r="B236" i="3"/>
  <c r="Z235" i="3"/>
  <c r="X235" i="3"/>
  <c r="L235" i="3"/>
  <c r="N235" i="3" s="1"/>
  <c r="B235" i="3"/>
  <c r="Z234" i="3"/>
  <c r="X234" i="3"/>
  <c r="L234" i="3"/>
  <c r="N234" i="3" s="1"/>
  <c r="B234" i="3"/>
  <c r="X233" i="3"/>
  <c r="Z233" i="3" s="1"/>
  <c r="N233" i="3"/>
  <c r="L233" i="3"/>
  <c r="B233" i="3"/>
  <c r="X232" i="3"/>
  <c r="Z232" i="3" s="1"/>
  <c r="L232" i="3"/>
  <c r="N232" i="3" s="1"/>
  <c r="B232" i="3"/>
  <c r="X231" i="3"/>
  <c r="Z231" i="3" s="1"/>
  <c r="N231" i="3"/>
  <c r="L231" i="3"/>
  <c r="B231" i="3"/>
  <c r="X230" i="3"/>
  <c r="T230" i="3"/>
  <c r="P230" i="3"/>
  <c r="H230" i="3"/>
  <c r="D230" i="3"/>
  <c r="B230" i="3"/>
  <c r="X229" i="3"/>
  <c r="Z229" i="3" s="1"/>
  <c r="N229" i="3"/>
  <c r="L229" i="3"/>
  <c r="B229" i="3"/>
  <c r="X228" i="3"/>
  <c r="Z228" i="3" s="1"/>
  <c r="L228" i="3"/>
  <c r="N228" i="3" s="1"/>
  <c r="B228" i="3"/>
  <c r="X227" i="3"/>
  <c r="Z227" i="3" s="1"/>
  <c r="T227" i="3"/>
  <c r="P227" i="3"/>
  <c r="H227" i="3"/>
  <c r="D227" i="3"/>
  <c r="B227" i="3"/>
  <c r="Z226" i="3"/>
  <c r="X226" i="3"/>
  <c r="L226" i="3"/>
  <c r="N226" i="3" s="1"/>
  <c r="B226" i="3"/>
  <c r="X225" i="3"/>
  <c r="Z225" i="3" s="1"/>
  <c r="N225" i="3"/>
  <c r="L225" i="3"/>
  <c r="B225" i="3"/>
  <c r="Z224" i="3"/>
  <c r="X224" i="3"/>
  <c r="L224" i="3"/>
  <c r="N224" i="3" s="1"/>
  <c r="B224" i="3"/>
  <c r="X223" i="3"/>
  <c r="Z223" i="3" s="1"/>
  <c r="N223" i="3"/>
  <c r="L223" i="3"/>
  <c r="B223" i="3"/>
  <c r="X222" i="3"/>
  <c r="Z222" i="3" s="1"/>
  <c r="N222" i="3"/>
  <c r="L222" i="3"/>
  <c r="B222" i="3"/>
  <c r="Z221" i="3"/>
  <c r="T221" i="3"/>
  <c r="P221" i="3"/>
  <c r="X221" i="3" s="1"/>
  <c r="L221" i="3"/>
  <c r="N221" i="3" s="1"/>
  <c r="H221" i="3"/>
  <c r="D221" i="3"/>
  <c r="B221" i="3"/>
  <c r="Z220" i="3"/>
  <c r="X220" i="3"/>
  <c r="L220" i="3"/>
  <c r="N220" i="3" s="1"/>
  <c r="B220" i="3"/>
  <c r="X219" i="3"/>
  <c r="Z219" i="3" s="1"/>
  <c r="N219" i="3"/>
  <c r="L219" i="3"/>
  <c r="B219" i="3"/>
  <c r="X218" i="3"/>
  <c r="Z218" i="3" s="1"/>
  <c r="N218" i="3"/>
  <c r="L218" i="3"/>
  <c r="B218" i="3"/>
  <c r="T217" i="3"/>
  <c r="P217" i="3"/>
  <c r="X217" i="3" s="1"/>
  <c r="Z217" i="3" s="1"/>
  <c r="L217" i="3"/>
  <c r="N217" i="3" s="1"/>
  <c r="H217" i="3"/>
  <c r="D217" i="3"/>
  <c r="B217" i="3"/>
  <c r="Z216" i="3"/>
  <c r="X216" i="3"/>
  <c r="L216" i="3"/>
  <c r="N216" i="3" s="1"/>
  <c r="B216" i="3"/>
  <c r="X215" i="3"/>
  <c r="Z215" i="3" s="1"/>
  <c r="N215" i="3"/>
  <c r="L215" i="3"/>
  <c r="B215" i="3"/>
  <c r="Z214" i="3"/>
  <c r="X214" i="3"/>
  <c r="N214" i="3"/>
  <c r="L214" i="3"/>
  <c r="B214" i="3"/>
  <c r="Z213" i="3"/>
  <c r="X213" i="3"/>
  <c r="L213" i="3"/>
  <c r="N213" i="3" s="1"/>
  <c r="B213" i="3"/>
  <c r="X212" i="3"/>
  <c r="T212" i="3"/>
  <c r="P212" i="3"/>
  <c r="H212" i="3"/>
  <c r="D212" i="3"/>
  <c r="B212" i="3"/>
  <c r="X211" i="3"/>
  <c r="Z211" i="3" s="1"/>
  <c r="N211" i="3"/>
  <c r="L211" i="3"/>
  <c r="B211" i="3"/>
  <c r="X210" i="3"/>
  <c r="T210" i="3"/>
  <c r="P210" i="3"/>
  <c r="H210" i="3"/>
  <c r="D210" i="3"/>
  <c r="B210" i="3"/>
  <c r="X209" i="3"/>
  <c r="Z209" i="3" s="1"/>
  <c r="N209" i="3"/>
  <c r="L209" i="3"/>
  <c r="B209" i="3"/>
  <c r="T208" i="3"/>
  <c r="P208" i="3"/>
  <c r="H208" i="3"/>
  <c r="D208" i="3"/>
  <c r="L208" i="3" s="1"/>
  <c r="B208" i="3"/>
  <c r="Z207" i="3"/>
  <c r="X207" i="3"/>
  <c r="N207" i="3"/>
  <c r="L207" i="3"/>
  <c r="B207" i="3"/>
  <c r="T206" i="3"/>
  <c r="Z206" i="3" s="1"/>
  <c r="P206" i="3"/>
  <c r="X206" i="3" s="1"/>
  <c r="L206" i="3"/>
  <c r="H206" i="3"/>
  <c r="N206" i="3" s="1"/>
  <c r="D206" i="3"/>
  <c r="B206" i="3"/>
  <c r="Z205" i="3"/>
  <c r="X205" i="3"/>
  <c r="N205" i="3"/>
  <c r="L205" i="3"/>
  <c r="B205" i="3"/>
  <c r="X204" i="3"/>
  <c r="Z204" i="3" s="1"/>
  <c r="N204" i="3"/>
  <c r="L204" i="3"/>
  <c r="B204" i="3"/>
  <c r="Z203" i="3"/>
  <c r="T203" i="3"/>
  <c r="P203" i="3"/>
  <c r="X203" i="3" s="1"/>
  <c r="N203" i="3"/>
  <c r="H203" i="3"/>
  <c r="D203" i="3"/>
  <c r="L203" i="3" s="1"/>
  <c r="B203" i="3"/>
  <c r="X202" i="3"/>
  <c r="Z202" i="3" s="1"/>
  <c r="N202" i="3"/>
  <c r="L202" i="3"/>
  <c r="B202" i="3"/>
  <c r="T201" i="3"/>
  <c r="P201" i="3"/>
  <c r="X201" i="3" s="1"/>
  <c r="Z201" i="3" s="1"/>
  <c r="L201" i="3"/>
  <c r="N201" i="3" s="1"/>
  <c r="H201" i="3"/>
  <c r="D201" i="3"/>
  <c r="B201" i="3"/>
  <c r="Z200" i="3"/>
  <c r="X200" i="3"/>
  <c r="L200" i="3"/>
  <c r="N200" i="3" s="1"/>
  <c r="B200" i="3"/>
  <c r="X199" i="3"/>
  <c r="Z199" i="3" s="1"/>
  <c r="T199" i="3"/>
  <c r="P199" i="3"/>
  <c r="H199" i="3"/>
  <c r="D199" i="3"/>
  <c r="B199" i="3"/>
  <c r="Z198" i="3"/>
  <c r="X198" i="3"/>
  <c r="N198" i="3"/>
  <c r="L198" i="3"/>
  <c r="B198" i="3"/>
  <c r="T197" i="3"/>
  <c r="P197" i="3"/>
  <c r="N197" i="3"/>
  <c r="H197" i="3"/>
  <c r="D197" i="3"/>
  <c r="L197" i="3" s="1"/>
  <c r="B197" i="3"/>
  <c r="X196" i="3"/>
  <c r="Z196" i="3" s="1"/>
  <c r="N196" i="3"/>
  <c r="L196" i="3"/>
  <c r="B196" i="3"/>
  <c r="Z195" i="3"/>
  <c r="X195" i="3"/>
  <c r="L195" i="3"/>
  <c r="N195" i="3" s="1"/>
  <c r="B195" i="3"/>
  <c r="T194" i="3"/>
  <c r="P194" i="3"/>
  <c r="X194" i="3" s="1"/>
  <c r="Z194" i="3" s="1"/>
  <c r="L194" i="3"/>
  <c r="N194" i="3" s="1"/>
  <c r="H194" i="3"/>
  <c r="D194" i="3"/>
  <c r="B194" i="3"/>
  <c r="Z193" i="3"/>
  <c r="X193" i="3"/>
  <c r="L193" i="3"/>
  <c r="N193" i="3" s="1"/>
  <c r="B193" i="3"/>
  <c r="X192" i="3"/>
  <c r="Z192" i="3" s="1"/>
  <c r="T192" i="3"/>
  <c r="P192" i="3"/>
  <c r="H192" i="3"/>
  <c r="D192" i="3"/>
  <c r="B192" i="3"/>
  <c r="X191" i="3"/>
  <c r="Z191" i="3" s="1"/>
  <c r="N191" i="3"/>
  <c r="L191" i="3"/>
  <c r="B191" i="3"/>
  <c r="T190" i="3"/>
  <c r="X190" i="3" s="1"/>
  <c r="Z190" i="3" s="1"/>
  <c r="P190" i="3"/>
  <c r="N190" i="3"/>
  <c r="H190" i="3"/>
  <c r="D190" i="3"/>
  <c r="L190" i="3" s="1"/>
  <c r="B190" i="3"/>
  <c r="X189" i="3"/>
  <c r="Z189" i="3" s="1"/>
  <c r="N189" i="3"/>
  <c r="L189" i="3"/>
  <c r="B189" i="3"/>
  <c r="Z188" i="3"/>
  <c r="T188" i="3"/>
  <c r="P188" i="3"/>
  <c r="X188" i="3" s="1"/>
  <c r="H188" i="3"/>
  <c r="N188" i="3" s="1"/>
  <c r="D188" i="3"/>
  <c r="L188" i="3" s="1"/>
  <c r="B188" i="3"/>
  <c r="Z187" i="3"/>
  <c r="X187" i="3"/>
  <c r="L187" i="3"/>
  <c r="N187" i="3" s="1"/>
  <c r="B187" i="3"/>
  <c r="Z186" i="3"/>
  <c r="X186" i="3"/>
  <c r="N186" i="3"/>
  <c r="L186" i="3"/>
  <c r="B186" i="3"/>
  <c r="X185" i="3"/>
  <c r="T185" i="3"/>
  <c r="P185" i="3"/>
  <c r="H185" i="3"/>
  <c r="D185" i="3"/>
  <c r="L185" i="3" s="1"/>
  <c r="N185" i="3" s="1"/>
  <c r="B185" i="3"/>
  <c r="X184" i="3"/>
  <c r="Z184" i="3" s="1"/>
  <c r="N184" i="3"/>
  <c r="L184" i="3"/>
  <c r="B184" i="3"/>
  <c r="X183" i="3"/>
  <c r="Z183" i="3" s="1"/>
  <c r="N183" i="3"/>
  <c r="L183" i="3"/>
  <c r="B183" i="3"/>
  <c r="T182" i="3"/>
  <c r="P182" i="3"/>
  <c r="L182" i="3"/>
  <c r="N182" i="3" s="1"/>
  <c r="H182" i="3"/>
  <c r="D182" i="3"/>
  <c r="B182" i="3"/>
  <c r="X181" i="3"/>
  <c r="Z181" i="3" s="1"/>
  <c r="L181" i="3"/>
  <c r="N181" i="3" s="1"/>
  <c r="B181" i="3"/>
  <c r="X180" i="3"/>
  <c r="Z180" i="3" s="1"/>
  <c r="T180" i="3"/>
  <c r="P180" i="3"/>
  <c r="H180" i="3"/>
  <c r="D180" i="3"/>
  <c r="L180" i="3" s="1"/>
  <c r="N180" i="3" s="1"/>
  <c r="B180" i="3"/>
  <c r="X179" i="3"/>
  <c r="Z179" i="3" s="1"/>
  <c r="N179" i="3"/>
  <c r="L179" i="3"/>
  <c r="B179" i="3"/>
  <c r="Z178" i="3"/>
  <c r="X178" i="3"/>
  <c r="N178" i="3"/>
  <c r="L178" i="3"/>
  <c r="B178" i="3"/>
  <c r="T177" i="3"/>
  <c r="P177" i="3"/>
  <c r="L177" i="3"/>
  <c r="H177" i="3"/>
  <c r="N177" i="3" s="1"/>
  <c r="D177" i="3"/>
  <c r="B177" i="3"/>
  <c r="Z176" i="3"/>
  <c r="X176" i="3"/>
  <c r="L176" i="3"/>
  <c r="N176" i="3" s="1"/>
  <c r="B176" i="3"/>
  <c r="X175" i="3"/>
  <c r="T175" i="3"/>
  <c r="Z175" i="3" s="1"/>
  <c r="P175" i="3"/>
  <c r="H175" i="3"/>
  <c r="D175" i="3"/>
  <c r="L175" i="3" s="1"/>
  <c r="B175" i="3"/>
  <c r="Z174" i="3"/>
  <c r="X174" i="3"/>
  <c r="N174" i="3"/>
  <c r="L174" i="3"/>
  <c r="B174" i="3"/>
  <c r="X173" i="3"/>
  <c r="Z173" i="3" s="1"/>
  <c r="L173" i="3"/>
  <c r="N173" i="3" s="1"/>
  <c r="B173" i="3"/>
  <c r="Z172" i="3"/>
  <c r="X172" i="3"/>
  <c r="N172" i="3"/>
  <c r="L172" i="3"/>
  <c r="B172" i="3"/>
  <c r="X171" i="3"/>
  <c r="Z171" i="3" s="1"/>
  <c r="N171" i="3"/>
  <c r="L171" i="3"/>
  <c r="B171" i="3"/>
  <c r="Z170" i="3"/>
  <c r="X170" i="3"/>
  <c r="N170" i="3"/>
  <c r="L170" i="3"/>
  <c r="B170" i="3"/>
  <c r="X169" i="3"/>
  <c r="Z169" i="3" s="1"/>
  <c r="L169" i="3"/>
  <c r="N169" i="3" s="1"/>
  <c r="B169" i="3"/>
  <c r="X168" i="3"/>
  <c r="Z168" i="3" s="1"/>
  <c r="N168" i="3"/>
  <c r="L168" i="3"/>
  <c r="B168" i="3"/>
  <c r="T167" i="3"/>
  <c r="P167" i="3"/>
  <c r="X167" i="3" s="1"/>
  <c r="Z167" i="3" s="1"/>
  <c r="H167" i="3"/>
  <c r="D167" i="3"/>
  <c r="L167" i="3" s="1"/>
  <c r="B167" i="3"/>
  <c r="Z166" i="3"/>
  <c r="X166" i="3"/>
  <c r="N166" i="3"/>
  <c r="L166" i="3"/>
  <c r="B166" i="3"/>
  <c r="X165" i="3"/>
  <c r="Z165" i="3" s="1"/>
  <c r="L165" i="3"/>
  <c r="N165" i="3" s="1"/>
  <c r="B165" i="3"/>
  <c r="X164" i="3"/>
  <c r="Z164" i="3" s="1"/>
  <c r="N164" i="3"/>
  <c r="L164" i="3"/>
  <c r="B164" i="3"/>
  <c r="Z163" i="3"/>
  <c r="X163" i="3"/>
  <c r="L163" i="3"/>
  <c r="N163" i="3" s="1"/>
  <c r="B163" i="3"/>
  <c r="Z162" i="3"/>
  <c r="X162" i="3"/>
  <c r="N162" i="3"/>
  <c r="L162" i="3"/>
  <c r="B162" i="3"/>
  <c r="X161" i="3"/>
  <c r="Z161" i="3" s="1"/>
  <c r="L161" i="3"/>
  <c r="N161" i="3" s="1"/>
  <c r="B161" i="3"/>
  <c r="Z160" i="3"/>
  <c r="X160" i="3"/>
  <c r="L160" i="3"/>
  <c r="N160" i="3" s="1"/>
  <c r="B160" i="3"/>
  <c r="X159" i="3"/>
  <c r="Z159" i="3" s="1"/>
  <c r="N159" i="3"/>
  <c r="L159" i="3"/>
  <c r="B159" i="3"/>
  <c r="Z158" i="3"/>
  <c r="X158" i="3"/>
  <c r="N158" i="3"/>
  <c r="L158" i="3"/>
  <c r="B158" i="3"/>
  <c r="X157" i="3"/>
  <c r="Z157" i="3" s="1"/>
  <c r="L157" i="3"/>
  <c r="N157" i="3" s="1"/>
  <c r="B157" i="3"/>
  <c r="X156" i="3"/>
  <c r="Z156" i="3" s="1"/>
  <c r="T156" i="3"/>
  <c r="P156" i="3"/>
  <c r="H156" i="3"/>
  <c r="D156" i="3"/>
  <c r="L156" i="3" s="1"/>
  <c r="N156" i="3" s="1"/>
  <c r="B156" i="3"/>
  <c r="X155" i="3"/>
  <c r="T155" i="3"/>
  <c r="Z155" i="3" s="1"/>
  <c r="P155" i="3"/>
  <c r="H155" i="3"/>
  <c r="D155" i="3"/>
  <c r="L155" i="3" s="1"/>
  <c r="Z151" i="3"/>
  <c r="X151" i="3"/>
  <c r="N151" i="3"/>
  <c r="L151" i="3"/>
  <c r="B151" i="3"/>
  <c r="Z150" i="3"/>
  <c r="X150" i="3"/>
  <c r="N150" i="3"/>
  <c r="L150" i="3"/>
  <c r="B150" i="3"/>
  <c r="X149" i="3"/>
  <c r="Z149" i="3" s="1"/>
  <c r="L149" i="3"/>
  <c r="N149" i="3" s="1"/>
  <c r="B149" i="3"/>
  <c r="X148" i="3"/>
  <c r="Z148" i="3" s="1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L144" i="3"/>
  <c r="N144" i="3" s="1"/>
  <c r="B144" i="3"/>
  <c r="X143" i="3"/>
  <c r="Z143" i="3" s="1"/>
  <c r="N143" i="3"/>
  <c r="L143" i="3"/>
  <c r="B143" i="3"/>
  <c r="Z142" i="3"/>
  <c r="X142" i="3"/>
  <c r="N142" i="3"/>
  <c r="L142" i="3"/>
  <c r="B142" i="3"/>
  <c r="X141" i="3"/>
  <c r="Z141" i="3" s="1"/>
  <c r="L141" i="3"/>
  <c r="N141" i="3" s="1"/>
  <c r="B141" i="3"/>
  <c r="X140" i="3"/>
  <c r="Z140" i="3" s="1"/>
  <c r="N140" i="3"/>
  <c r="L140" i="3"/>
  <c r="B140" i="3"/>
  <c r="Z139" i="3"/>
  <c r="X139" i="3"/>
  <c r="N139" i="3"/>
  <c r="L139" i="3"/>
  <c r="B139" i="3"/>
  <c r="Z138" i="3"/>
  <c r="X138" i="3"/>
  <c r="N138" i="3"/>
  <c r="L138" i="3"/>
  <c r="B138" i="3"/>
  <c r="X137" i="3"/>
  <c r="Z137" i="3" s="1"/>
  <c r="N137" i="3"/>
  <c r="L137" i="3"/>
  <c r="B137" i="3"/>
  <c r="Z136" i="3"/>
  <c r="X136" i="3"/>
  <c r="N136" i="3"/>
  <c r="L136" i="3"/>
  <c r="B136" i="3"/>
  <c r="X135" i="3"/>
  <c r="Z135" i="3" s="1"/>
  <c r="N135" i="3"/>
  <c r="L135" i="3"/>
  <c r="B135" i="3"/>
  <c r="Z134" i="3"/>
  <c r="X134" i="3"/>
  <c r="N134" i="3"/>
  <c r="L134" i="3"/>
  <c r="B134" i="3"/>
  <c r="X133" i="3"/>
  <c r="Z133" i="3" s="1"/>
  <c r="L133" i="3"/>
  <c r="N133" i="3" s="1"/>
  <c r="B133" i="3"/>
  <c r="X132" i="3"/>
  <c r="Z132" i="3" s="1"/>
  <c r="N132" i="3"/>
  <c r="L132" i="3"/>
  <c r="B132" i="3"/>
  <c r="Z131" i="3"/>
  <c r="X131" i="3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Z128" i="3"/>
  <c r="X128" i="3"/>
  <c r="N128" i="3"/>
  <c r="L128" i="3"/>
  <c r="B128" i="3"/>
  <c r="X127" i="3"/>
  <c r="Z127" i="3" s="1"/>
  <c r="N127" i="3"/>
  <c r="L127" i="3"/>
  <c r="B127" i="3"/>
  <c r="Z126" i="3"/>
  <c r="X126" i="3"/>
  <c r="N126" i="3"/>
  <c r="L126" i="3"/>
  <c r="B126" i="3"/>
  <c r="X125" i="3"/>
  <c r="Z125" i="3" s="1"/>
  <c r="L125" i="3"/>
  <c r="N125" i="3" s="1"/>
  <c r="B125" i="3"/>
  <c r="X124" i="3"/>
  <c r="Z124" i="3" s="1"/>
  <c r="N124" i="3"/>
  <c r="L124" i="3"/>
  <c r="B124" i="3"/>
  <c r="Z123" i="3"/>
  <c r="X123" i="3"/>
  <c r="L123" i="3"/>
  <c r="N123" i="3" s="1"/>
  <c r="B123" i="3"/>
  <c r="Z122" i="3"/>
  <c r="X122" i="3"/>
  <c r="N122" i="3"/>
  <c r="L122" i="3"/>
  <c r="B122" i="3"/>
  <c r="X121" i="3"/>
  <c r="Z121" i="3" s="1"/>
  <c r="L121" i="3"/>
  <c r="N121" i="3" s="1"/>
  <c r="B121" i="3"/>
  <c r="Z120" i="3"/>
  <c r="X120" i="3"/>
  <c r="L120" i="3"/>
  <c r="N120" i="3" s="1"/>
  <c r="B120" i="3"/>
  <c r="X119" i="3"/>
  <c r="Z119" i="3" s="1"/>
  <c r="N119" i="3"/>
  <c r="L119" i="3"/>
  <c r="B119" i="3"/>
  <c r="Z118" i="3"/>
  <c r="X118" i="3"/>
  <c r="N118" i="3"/>
  <c r="L118" i="3"/>
  <c r="B118" i="3"/>
  <c r="X117" i="3"/>
  <c r="Z117" i="3" s="1"/>
  <c r="L117" i="3"/>
  <c r="N117" i="3" s="1"/>
  <c r="B117" i="3"/>
  <c r="X116" i="3"/>
  <c r="Z116" i="3" s="1"/>
  <c r="L116" i="3"/>
  <c r="N116" i="3" s="1"/>
  <c r="B116" i="3"/>
  <c r="Z115" i="3"/>
  <c r="X115" i="3"/>
  <c r="L115" i="3"/>
  <c r="N115" i="3" s="1"/>
  <c r="B115" i="3"/>
  <c r="Z114" i="3"/>
  <c r="X114" i="3"/>
  <c r="N114" i="3"/>
  <c r="L114" i="3"/>
  <c r="B114" i="3"/>
  <c r="X113" i="3"/>
  <c r="Z113" i="3" s="1"/>
  <c r="N113" i="3"/>
  <c r="L113" i="3"/>
  <c r="B113" i="3"/>
  <c r="X112" i="3"/>
  <c r="Z112" i="3" s="1"/>
  <c r="N112" i="3"/>
  <c r="L112" i="3"/>
  <c r="B112" i="3"/>
  <c r="X111" i="3"/>
  <c r="Z111" i="3" s="1"/>
  <c r="N111" i="3"/>
  <c r="L111" i="3"/>
  <c r="B111" i="3"/>
  <c r="Z110" i="3"/>
  <c r="X110" i="3"/>
  <c r="N110" i="3"/>
  <c r="L110" i="3"/>
  <c r="B110" i="3"/>
  <c r="X109" i="3"/>
  <c r="Z109" i="3" s="1"/>
  <c r="L109" i="3"/>
  <c r="N109" i="3" s="1"/>
  <c r="B109" i="3"/>
  <c r="X108" i="3"/>
  <c r="Z108" i="3" s="1"/>
  <c r="N108" i="3"/>
  <c r="L108" i="3"/>
  <c r="B108" i="3"/>
  <c r="Z107" i="3"/>
  <c r="X107" i="3"/>
  <c r="L107" i="3"/>
  <c r="N107" i="3" s="1"/>
  <c r="B107" i="3"/>
  <c r="Z106" i="3"/>
  <c r="X106" i="3"/>
  <c r="N106" i="3"/>
  <c r="L106" i="3"/>
  <c r="B106" i="3"/>
  <c r="X105" i="3"/>
  <c r="Z105" i="3" s="1"/>
  <c r="L105" i="3"/>
  <c r="N105" i="3" s="1"/>
  <c r="B105" i="3"/>
  <c r="Z104" i="3"/>
  <c r="X104" i="3"/>
  <c r="N104" i="3"/>
  <c r="L104" i="3"/>
  <c r="B104" i="3"/>
  <c r="X103" i="3"/>
  <c r="Z103" i="3" s="1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X100" i="3"/>
  <c r="Z100" i="3" s="1"/>
  <c r="T100" i="3"/>
  <c r="P100" i="3"/>
  <c r="H100" i="3"/>
  <c r="D100" i="3"/>
  <c r="L100" i="3" s="1"/>
  <c r="N100" i="3" s="1"/>
  <c r="T98" i="3"/>
  <c r="Z98" i="3" s="1"/>
  <c r="P98" i="3"/>
  <c r="L98" i="3"/>
  <c r="H98" i="3"/>
  <c r="N98" i="3" s="1"/>
  <c r="D98" i="3"/>
  <c r="B98" i="3"/>
  <c r="X97" i="3"/>
  <c r="Z97" i="3" s="1"/>
  <c r="T97" i="3"/>
  <c r="P97" i="3"/>
  <c r="N97" i="3"/>
  <c r="L97" i="3"/>
  <c r="H97" i="3"/>
  <c r="D97" i="3"/>
  <c r="B97" i="3"/>
  <c r="T96" i="3"/>
  <c r="P96" i="3"/>
  <c r="X96" i="3" s="1"/>
  <c r="Z96" i="3" s="1"/>
  <c r="N96" i="3"/>
  <c r="H96" i="3"/>
  <c r="D96" i="3"/>
  <c r="L96" i="3" s="1"/>
  <c r="B96" i="3"/>
  <c r="T95" i="3"/>
  <c r="Z95" i="3" s="1"/>
  <c r="P95" i="3"/>
  <c r="X95" i="3" s="1"/>
  <c r="H95" i="3"/>
  <c r="N95" i="3" s="1"/>
  <c r="D95" i="3"/>
  <c r="L95" i="3" s="1"/>
  <c r="B95" i="3"/>
  <c r="X94" i="3"/>
  <c r="T94" i="3"/>
  <c r="Z94" i="3" s="1"/>
  <c r="P94" i="3"/>
  <c r="H94" i="3"/>
  <c r="D94" i="3"/>
  <c r="B94" i="3"/>
  <c r="Z93" i="3"/>
  <c r="X93" i="3"/>
  <c r="T93" i="3"/>
  <c r="P93" i="3"/>
  <c r="L93" i="3"/>
  <c r="N93" i="3" s="1"/>
  <c r="H93" i="3"/>
  <c r="D93" i="3"/>
  <c r="B93" i="3"/>
  <c r="T92" i="3"/>
  <c r="P92" i="3"/>
  <c r="X92" i="3" s="1"/>
  <c r="Z92" i="3" s="1"/>
  <c r="H92" i="3"/>
  <c r="D92" i="3"/>
  <c r="L92" i="3" s="1"/>
  <c r="N92" i="3" s="1"/>
  <c r="B92" i="3"/>
  <c r="T91" i="3"/>
  <c r="Z91" i="3" s="1"/>
  <c r="P91" i="3"/>
  <c r="X91" i="3" s="1"/>
  <c r="H91" i="3"/>
  <c r="N91" i="3" s="1"/>
  <c r="D91" i="3"/>
  <c r="L91" i="3" s="1"/>
  <c r="B91" i="3"/>
  <c r="T90" i="3"/>
  <c r="Z90" i="3" s="1"/>
  <c r="P90" i="3"/>
  <c r="L90" i="3"/>
  <c r="H90" i="3"/>
  <c r="N90" i="3" s="1"/>
  <c r="D90" i="3"/>
  <c r="B90" i="3"/>
  <c r="X89" i="3"/>
  <c r="Z89" i="3" s="1"/>
  <c r="T89" i="3"/>
  <c r="P89" i="3"/>
  <c r="N89" i="3"/>
  <c r="L89" i="3"/>
  <c r="H89" i="3"/>
  <c r="D89" i="3"/>
  <c r="B89" i="3"/>
  <c r="T88" i="3"/>
  <c r="P88" i="3"/>
  <c r="X88" i="3" s="1"/>
  <c r="Z88" i="3" s="1"/>
  <c r="N88" i="3"/>
  <c r="H88" i="3"/>
  <c r="D88" i="3"/>
  <c r="L88" i="3" s="1"/>
  <c r="B88" i="3"/>
  <c r="T87" i="3"/>
  <c r="P87" i="3"/>
  <c r="X87" i="3" s="1"/>
  <c r="H87" i="3"/>
  <c r="D87" i="3"/>
  <c r="L87" i="3" s="1"/>
  <c r="B87" i="3"/>
  <c r="X86" i="3"/>
  <c r="T86" i="3"/>
  <c r="Z86" i="3" s="1"/>
  <c r="P86" i="3"/>
  <c r="H86" i="3"/>
  <c r="D86" i="3"/>
  <c r="B86" i="3"/>
  <c r="Z85" i="3"/>
  <c r="X85" i="3"/>
  <c r="T85" i="3"/>
  <c r="P85" i="3"/>
  <c r="L85" i="3"/>
  <c r="N85" i="3" s="1"/>
  <c r="H85" i="3"/>
  <c r="D85" i="3"/>
  <c r="B85" i="3"/>
  <c r="T84" i="3"/>
  <c r="P84" i="3"/>
  <c r="X84" i="3" s="1"/>
  <c r="Z84" i="3" s="1"/>
  <c r="N84" i="3"/>
  <c r="H84" i="3"/>
  <c r="D84" i="3"/>
  <c r="L84" i="3" s="1"/>
  <c r="B84" i="3"/>
  <c r="T83" i="3"/>
  <c r="Z83" i="3" s="1"/>
  <c r="P83" i="3"/>
  <c r="X83" i="3" s="1"/>
  <c r="H83" i="3"/>
  <c r="D83" i="3"/>
  <c r="B83" i="3"/>
  <c r="T82" i="3"/>
  <c r="P82" i="3"/>
  <c r="L82" i="3"/>
  <c r="N82" i="3" s="1"/>
  <c r="H82" i="3"/>
  <c r="D82" i="3"/>
  <c r="B82" i="3"/>
  <c r="X81" i="3"/>
  <c r="Z81" i="3" s="1"/>
  <c r="T81" i="3"/>
  <c r="P81" i="3"/>
  <c r="N81" i="3"/>
  <c r="L81" i="3"/>
  <c r="H81" i="3"/>
  <c r="D81" i="3"/>
  <c r="B81" i="3"/>
  <c r="T80" i="3"/>
  <c r="P80" i="3"/>
  <c r="X80" i="3" s="1"/>
  <c r="Z80" i="3" s="1"/>
  <c r="H80" i="3"/>
  <c r="D80" i="3"/>
  <c r="L80" i="3" s="1"/>
  <c r="N80" i="3" s="1"/>
  <c r="B80" i="3"/>
  <c r="T79" i="3"/>
  <c r="P79" i="3"/>
  <c r="H79" i="3"/>
  <c r="N79" i="3" s="1"/>
  <c r="D79" i="3"/>
  <c r="L79" i="3" s="1"/>
  <c r="B79" i="3"/>
  <c r="X78" i="3"/>
  <c r="Z78" i="3" s="1"/>
  <c r="T78" i="3"/>
  <c r="P78" i="3"/>
  <c r="H78" i="3"/>
  <c r="D78" i="3"/>
  <c r="B78" i="3"/>
  <c r="Z77" i="3"/>
  <c r="X77" i="3"/>
  <c r="T77" i="3"/>
  <c r="P77" i="3"/>
  <c r="L77" i="3"/>
  <c r="N77" i="3" s="1"/>
  <c r="H77" i="3"/>
  <c r="D77" i="3"/>
  <c r="B77" i="3"/>
  <c r="T76" i="3"/>
  <c r="P76" i="3"/>
  <c r="X76" i="3" s="1"/>
  <c r="Z76" i="3" s="1"/>
  <c r="N76" i="3"/>
  <c r="H76" i="3"/>
  <c r="D76" i="3"/>
  <c r="L76" i="3" s="1"/>
  <c r="B76" i="3"/>
  <c r="T75" i="3"/>
  <c r="P75" i="3"/>
  <c r="X75" i="3" s="1"/>
  <c r="H75" i="3"/>
  <c r="N75" i="3" s="1"/>
  <c r="D75" i="3"/>
  <c r="B75" i="3"/>
  <c r="T74" i="3"/>
  <c r="P74" i="3"/>
  <c r="L74" i="3"/>
  <c r="N74" i="3" s="1"/>
  <c r="H74" i="3"/>
  <c r="D74" i="3"/>
  <c r="B74" i="3"/>
  <c r="X73" i="3"/>
  <c r="Z73" i="3" s="1"/>
  <c r="T73" i="3"/>
  <c r="P73" i="3"/>
  <c r="N73" i="3"/>
  <c r="L73" i="3"/>
  <c r="H73" i="3"/>
  <c r="D73" i="3"/>
  <c r="B73" i="3"/>
  <c r="Z72" i="3"/>
  <c r="T72" i="3"/>
  <c r="P72" i="3"/>
  <c r="X72" i="3" s="1"/>
  <c r="N72" i="3"/>
  <c r="H72" i="3"/>
  <c r="D72" i="3"/>
  <c r="L72" i="3" s="1"/>
  <c r="B72" i="3"/>
  <c r="T71" i="3"/>
  <c r="P71" i="3"/>
  <c r="H71" i="3"/>
  <c r="D71" i="3"/>
  <c r="L71" i="3" s="1"/>
  <c r="B71" i="3"/>
  <c r="X70" i="3"/>
  <c r="Z70" i="3" s="1"/>
  <c r="T70" i="3"/>
  <c r="P70" i="3"/>
  <c r="H70" i="3"/>
  <c r="D70" i="3"/>
  <c r="B70" i="3"/>
  <c r="Z69" i="3"/>
  <c r="X69" i="3"/>
  <c r="T69" i="3"/>
  <c r="P69" i="3"/>
  <c r="L69" i="3"/>
  <c r="N69" i="3" s="1"/>
  <c r="H69" i="3"/>
  <c r="D69" i="3"/>
  <c r="B69" i="3"/>
  <c r="T68" i="3"/>
  <c r="P68" i="3"/>
  <c r="X68" i="3" s="1"/>
  <c r="Z68" i="3" s="1"/>
  <c r="H68" i="3"/>
  <c r="D68" i="3"/>
  <c r="L68" i="3" s="1"/>
  <c r="N68" i="3" s="1"/>
  <c r="B68" i="3"/>
  <c r="T67" i="3"/>
  <c r="P67" i="3"/>
  <c r="X67" i="3" s="1"/>
  <c r="H67" i="3"/>
  <c r="D67" i="3"/>
  <c r="B67" i="3"/>
  <c r="T66" i="3"/>
  <c r="P66" i="3"/>
  <c r="L66" i="3"/>
  <c r="N66" i="3" s="1"/>
  <c r="H66" i="3"/>
  <c r="D66" i="3"/>
  <c r="B66" i="3"/>
  <c r="X65" i="3"/>
  <c r="Z65" i="3" s="1"/>
  <c r="T65" i="3"/>
  <c r="P65" i="3"/>
  <c r="N65" i="3"/>
  <c r="L65" i="3"/>
  <c r="H65" i="3"/>
  <c r="D65" i="3"/>
  <c r="B65" i="3"/>
  <c r="T64" i="3"/>
  <c r="P64" i="3"/>
  <c r="X64" i="3" s="1"/>
  <c r="Z64" i="3" s="1"/>
  <c r="H64" i="3"/>
  <c r="D64" i="3"/>
  <c r="L64" i="3" s="1"/>
  <c r="N64" i="3" s="1"/>
  <c r="B64" i="3"/>
  <c r="T63" i="3"/>
  <c r="P63" i="3"/>
  <c r="H63" i="3"/>
  <c r="D63" i="3"/>
  <c r="L63" i="3" s="1"/>
  <c r="B63" i="3"/>
  <c r="X62" i="3"/>
  <c r="Z62" i="3" s="1"/>
  <c r="T62" i="3"/>
  <c r="P62" i="3"/>
  <c r="H62" i="3"/>
  <c r="D62" i="3"/>
  <c r="B62" i="3"/>
  <c r="Z61" i="3"/>
  <c r="X61" i="3"/>
  <c r="T61" i="3"/>
  <c r="P61" i="3"/>
  <c r="L61" i="3"/>
  <c r="N61" i="3" s="1"/>
  <c r="H61" i="3"/>
  <c r="D61" i="3"/>
  <c r="B61" i="3"/>
  <c r="T60" i="3"/>
  <c r="P60" i="3"/>
  <c r="X60" i="3" s="1"/>
  <c r="Z60" i="3" s="1"/>
  <c r="H60" i="3"/>
  <c r="D60" i="3"/>
  <c r="L60" i="3" s="1"/>
  <c r="N60" i="3" s="1"/>
  <c r="B60" i="3"/>
  <c r="T59" i="3"/>
  <c r="P59" i="3"/>
  <c r="X59" i="3" s="1"/>
  <c r="H59" i="3"/>
  <c r="D59" i="3"/>
  <c r="B59" i="3"/>
  <c r="T58" i="3"/>
  <c r="P58" i="3"/>
  <c r="L58" i="3"/>
  <c r="N58" i="3" s="1"/>
  <c r="H58" i="3"/>
  <c r="D58" i="3"/>
  <c r="B58" i="3"/>
  <c r="X57" i="3"/>
  <c r="Z57" i="3" s="1"/>
  <c r="T57" i="3"/>
  <c r="P57" i="3"/>
  <c r="N57" i="3"/>
  <c r="L57" i="3"/>
  <c r="H57" i="3"/>
  <c r="D57" i="3"/>
  <c r="B57" i="3"/>
  <c r="T56" i="3"/>
  <c r="P56" i="3"/>
  <c r="X56" i="3" s="1"/>
  <c r="Z56" i="3" s="1"/>
  <c r="N56" i="3"/>
  <c r="H56" i="3"/>
  <c r="D56" i="3"/>
  <c r="L56" i="3" s="1"/>
  <c r="B56" i="3"/>
  <c r="T55" i="3"/>
  <c r="P55" i="3"/>
  <c r="H55" i="3"/>
  <c r="N55" i="3" s="1"/>
  <c r="D55" i="3"/>
  <c r="L55" i="3" s="1"/>
  <c r="B55" i="3"/>
  <c r="X54" i="3"/>
  <c r="Z54" i="3" s="1"/>
  <c r="T54" i="3"/>
  <c r="P54" i="3"/>
  <c r="H54" i="3"/>
  <c r="N54" i="3" s="1"/>
  <c r="D54" i="3"/>
  <c r="B54" i="3"/>
  <c r="Z53" i="3"/>
  <c r="X53" i="3"/>
  <c r="T53" i="3"/>
  <c r="P53" i="3"/>
  <c r="N53" i="3"/>
  <c r="L53" i="3"/>
  <c r="H53" i="3"/>
  <c r="D53" i="3"/>
  <c r="B53" i="3"/>
  <c r="T52" i="3"/>
  <c r="P52" i="3"/>
  <c r="X52" i="3" s="1"/>
  <c r="Z52" i="3" s="1"/>
  <c r="H52" i="3"/>
  <c r="D52" i="3"/>
  <c r="L52" i="3" s="1"/>
  <c r="N52" i="3" s="1"/>
  <c r="B52" i="3"/>
  <c r="T51" i="3"/>
  <c r="P51" i="3"/>
  <c r="X51" i="3" s="1"/>
  <c r="H51" i="3"/>
  <c r="D51" i="3"/>
  <c r="L51" i="3" s="1"/>
  <c r="B51" i="3"/>
  <c r="T50" i="3"/>
  <c r="P50" i="3"/>
  <c r="L50" i="3"/>
  <c r="H50" i="3"/>
  <c r="N50" i="3" s="1"/>
  <c r="D50" i="3"/>
  <c r="B50" i="3"/>
  <c r="X49" i="3"/>
  <c r="Z49" i="3" s="1"/>
  <c r="T49" i="3"/>
  <c r="P49" i="3"/>
  <c r="N49" i="3"/>
  <c r="L49" i="3"/>
  <c r="H49" i="3"/>
  <c r="D49" i="3"/>
  <c r="B49" i="3"/>
  <c r="T48" i="3"/>
  <c r="P48" i="3"/>
  <c r="X48" i="3" s="1"/>
  <c r="Z48" i="3" s="1"/>
  <c r="H48" i="3"/>
  <c r="D48" i="3"/>
  <c r="L48" i="3" s="1"/>
  <c r="N48" i="3" s="1"/>
  <c r="B48" i="3"/>
  <c r="T47" i="3"/>
  <c r="P47" i="3"/>
  <c r="X47" i="3" s="1"/>
  <c r="H47" i="3"/>
  <c r="D47" i="3"/>
  <c r="L47" i="3" s="1"/>
  <c r="B47" i="3"/>
  <c r="X46" i="3"/>
  <c r="T46" i="3"/>
  <c r="Z46" i="3" s="1"/>
  <c r="P46" i="3"/>
  <c r="H46" i="3"/>
  <c r="D46" i="3"/>
  <c r="B46" i="3"/>
  <c r="Z45" i="3"/>
  <c r="X45" i="3"/>
  <c r="T45" i="3"/>
  <c r="P45" i="3"/>
  <c r="L45" i="3"/>
  <c r="N45" i="3" s="1"/>
  <c r="H45" i="3"/>
  <c r="D45" i="3"/>
  <c r="B45" i="3"/>
  <c r="T44" i="3"/>
  <c r="P44" i="3"/>
  <c r="X44" i="3" s="1"/>
  <c r="Z44" i="3" s="1"/>
  <c r="H44" i="3"/>
  <c r="D44" i="3"/>
  <c r="L44" i="3" s="1"/>
  <c r="N44" i="3" s="1"/>
  <c r="B44" i="3"/>
  <c r="T43" i="3"/>
  <c r="P43" i="3"/>
  <c r="X43" i="3" s="1"/>
  <c r="H43" i="3"/>
  <c r="D43" i="3"/>
  <c r="L43" i="3" s="1"/>
  <c r="B43" i="3"/>
  <c r="T42" i="3"/>
  <c r="P42" i="3"/>
  <c r="L42" i="3"/>
  <c r="H42" i="3"/>
  <c r="N42" i="3" s="1"/>
  <c r="D42" i="3"/>
  <c r="B42" i="3"/>
  <c r="X41" i="3"/>
  <c r="Z41" i="3" s="1"/>
  <c r="T41" i="3"/>
  <c r="P41" i="3"/>
  <c r="N41" i="3"/>
  <c r="L41" i="3"/>
  <c r="H41" i="3"/>
  <c r="D41" i="3"/>
  <c r="B41" i="3"/>
  <c r="T40" i="3"/>
  <c r="P40" i="3"/>
  <c r="X40" i="3" s="1"/>
  <c r="Z40" i="3" s="1"/>
  <c r="H40" i="3"/>
  <c r="D40" i="3"/>
  <c r="L40" i="3" s="1"/>
  <c r="N40" i="3" s="1"/>
  <c r="B40" i="3"/>
  <c r="T39" i="3"/>
  <c r="P39" i="3"/>
  <c r="X39" i="3" s="1"/>
  <c r="H39" i="3"/>
  <c r="D39" i="3"/>
  <c r="L39" i="3" s="1"/>
  <c r="B39" i="3"/>
  <c r="X38" i="3"/>
  <c r="T38" i="3"/>
  <c r="Z38" i="3" s="1"/>
  <c r="P38" i="3"/>
  <c r="H38" i="3"/>
  <c r="D38" i="3"/>
  <c r="B38" i="3"/>
  <c r="Z37" i="3"/>
  <c r="X37" i="3"/>
  <c r="T37" i="3"/>
  <c r="P37" i="3"/>
  <c r="L37" i="3"/>
  <c r="N37" i="3" s="1"/>
  <c r="H37" i="3"/>
  <c r="D37" i="3"/>
  <c r="B37" i="3"/>
  <c r="T36" i="3"/>
  <c r="P36" i="3"/>
  <c r="X36" i="3" s="1"/>
  <c r="Z36" i="3" s="1"/>
  <c r="N36" i="3"/>
  <c r="H36" i="3"/>
  <c r="D36" i="3"/>
  <c r="L36" i="3" s="1"/>
  <c r="B36" i="3"/>
  <c r="T35" i="3"/>
  <c r="Z35" i="3" s="1"/>
  <c r="P35" i="3"/>
  <c r="X35" i="3" s="1"/>
  <c r="H35" i="3"/>
  <c r="N35" i="3" s="1"/>
  <c r="D35" i="3"/>
  <c r="L35" i="3" s="1"/>
  <c r="B35" i="3"/>
  <c r="T34" i="3"/>
  <c r="P34" i="3"/>
  <c r="L34" i="3"/>
  <c r="H34" i="3"/>
  <c r="N34" i="3" s="1"/>
  <c r="D34" i="3"/>
  <c r="B34" i="3"/>
  <c r="X33" i="3"/>
  <c r="Z33" i="3" s="1"/>
  <c r="T33" i="3"/>
  <c r="P33" i="3"/>
  <c r="N33" i="3"/>
  <c r="L33" i="3"/>
  <c r="H33" i="3"/>
  <c r="D33" i="3"/>
  <c r="B33" i="3"/>
  <c r="T32" i="3"/>
  <c r="P32" i="3"/>
  <c r="X32" i="3" s="1"/>
  <c r="Z32" i="3" s="1"/>
  <c r="H32" i="3"/>
  <c r="D32" i="3"/>
  <c r="L32" i="3" s="1"/>
  <c r="N32" i="3" s="1"/>
  <c r="B32" i="3"/>
  <c r="T31" i="3"/>
  <c r="Z31" i="3" s="1"/>
  <c r="P31" i="3"/>
  <c r="X31" i="3" s="1"/>
  <c r="H31" i="3"/>
  <c r="N31" i="3" s="1"/>
  <c r="D31" i="3"/>
  <c r="L31" i="3" s="1"/>
  <c r="B31" i="3"/>
  <c r="X30" i="3"/>
  <c r="T30" i="3"/>
  <c r="Z30" i="3" s="1"/>
  <c r="P30" i="3"/>
  <c r="H30" i="3"/>
  <c r="D30" i="3"/>
  <c r="B30" i="3"/>
  <c r="Z29" i="3"/>
  <c r="X29" i="3"/>
  <c r="T29" i="3"/>
  <c r="P29" i="3"/>
  <c r="L29" i="3"/>
  <c r="N29" i="3" s="1"/>
  <c r="H29" i="3"/>
  <c r="D29" i="3"/>
  <c r="B29" i="3"/>
  <c r="T28" i="3"/>
  <c r="P28" i="3"/>
  <c r="X28" i="3" s="1"/>
  <c r="Z28" i="3" s="1"/>
  <c r="H28" i="3"/>
  <c r="D28" i="3"/>
  <c r="L28" i="3" s="1"/>
  <c r="N28" i="3" s="1"/>
  <c r="B28" i="3"/>
  <c r="T27" i="3"/>
  <c r="Z27" i="3" s="1"/>
  <c r="P27" i="3"/>
  <c r="X27" i="3" s="1"/>
  <c r="H27" i="3"/>
  <c r="N27" i="3" s="1"/>
  <c r="D27" i="3"/>
  <c r="L27" i="3" s="1"/>
  <c r="B27" i="3"/>
  <c r="T26" i="3"/>
  <c r="P26" i="3"/>
  <c r="L26" i="3"/>
  <c r="H26" i="3"/>
  <c r="N26" i="3" s="1"/>
  <c r="D26" i="3"/>
  <c r="B26" i="3"/>
  <c r="X25" i="3"/>
  <c r="Z25" i="3" s="1"/>
  <c r="T25" i="3"/>
  <c r="P25" i="3"/>
  <c r="N25" i="3"/>
  <c r="L25" i="3"/>
  <c r="H25" i="3"/>
  <c r="D25" i="3"/>
  <c r="B25" i="3"/>
  <c r="T24" i="3"/>
  <c r="P24" i="3"/>
  <c r="X24" i="3" s="1"/>
  <c r="Z24" i="3" s="1"/>
  <c r="H24" i="3"/>
  <c r="D24" i="3"/>
  <c r="L24" i="3" s="1"/>
  <c r="N24" i="3" s="1"/>
  <c r="B24" i="3"/>
  <c r="T23" i="3"/>
  <c r="Z23" i="3" s="1"/>
  <c r="P23" i="3"/>
  <c r="X23" i="3" s="1"/>
  <c r="H23" i="3"/>
  <c r="N23" i="3" s="1"/>
  <c r="D23" i="3"/>
  <c r="L23" i="3" s="1"/>
  <c r="B23" i="3"/>
  <c r="X22" i="3"/>
  <c r="T22" i="3"/>
  <c r="Z22" i="3" s="1"/>
  <c r="P22" i="3"/>
  <c r="H22" i="3"/>
  <c r="D22" i="3"/>
  <c r="B22" i="3"/>
  <c r="Z21" i="3"/>
  <c r="X21" i="3"/>
  <c r="T21" i="3"/>
  <c r="P21" i="3"/>
  <c r="L21" i="3"/>
  <c r="N21" i="3" s="1"/>
  <c r="H21" i="3"/>
  <c r="D21" i="3"/>
  <c r="B21" i="3"/>
  <c r="T20" i="3"/>
  <c r="P20" i="3"/>
  <c r="X20" i="3" s="1"/>
  <c r="Z20" i="3" s="1"/>
  <c r="H20" i="3"/>
  <c r="D20" i="3"/>
  <c r="L20" i="3" s="1"/>
  <c r="N20" i="3" s="1"/>
  <c r="B20" i="3"/>
  <c r="T19" i="3"/>
  <c r="Z19" i="3" s="1"/>
  <c r="P19" i="3"/>
  <c r="X19" i="3" s="1"/>
  <c r="H19" i="3"/>
  <c r="N19" i="3" s="1"/>
  <c r="D19" i="3"/>
  <c r="L19" i="3" s="1"/>
  <c r="B19" i="3"/>
  <c r="T18" i="3"/>
  <c r="X18" i="3" s="1"/>
  <c r="P18" i="3"/>
  <c r="L18" i="3"/>
  <c r="H18" i="3"/>
  <c r="N18" i="3" s="1"/>
  <c r="D18" i="3"/>
  <c r="B18" i="3"/>
  <c r="X17" i="3"/>
  <c r="Z17" i="3" s="1"/>
  <c r="T17" i="3"/>
  <c r="P17" i="3"/>
  <c r="N17" i="3"/>
  <c r="L17" i="3"/>
  <c r="H17" i="3"/>
  <c r="D17" i="3"/>
  <c r="B17" i="3"/>
  <c r="T16" i="3"/>
  <c r="P16" i="3"/>
  <c r="X16" i="3" s="1"/>
  <c r="Z16" i="3" s="1"/>
  <c r="H16" i="3"/>
  <c r="D16" i="3"/>
  <c r="L16" i="3" s="1"/>
  <c r="N16" i="3" s="1"/>
  <c r="B16" i="3"/>
  <c r="T15" i="3"/>
  <c r="P15" i="3"/>
  <c r="P12" i="3" s="1"/>
  <c r="H15" i="3"/>
  <c r="N15" i="3" s="1"/>
  <c r="D15" i="3"/>
  <c r="L15" i="3" s="1"/>
  <c r="B15" i="3"/>
  <c r="X14" i="3"/>
  <c r="T14" i="3"/>
  <c r="T12" i="3" s="1"/>
  <c r="P14" i="3"/>
  <c r="H14" i="3"/>
  <c r="D14" i="3"/>
  <c r="B14" i="3"/>
  <c r="Z13" i="3"/>
  <c r="X13" i="3"/>
  <c r="T13" i="3"/>
  <c r="P13" i="3"/>
  <c r="L13" i="3"/>
  <c r="N13" i="3" s="1"/>
  <c r="H13" i="3"/>
  <c r="D13" i="3"/>
  <c r="B13" i="3"/>
  <c r="D4" i="3"/>
  <c r="L13" i="29" l="1"/>
  <c r="L24" i="10"/>
  <c r="L34" i="14"/>
  <c r="L16" i="16"/>
  <c r="X33" i="44"/>
  <c r="X13" i="100"/>
  <c r="X33" i="11"/>
  <c r="X25" i="24"/>
  <c r="L15" i="49"/>
  <c r="L29" i="49"/>
  <c r="L33" i="27"/>
  <c r="X25" i="29"/>
  <c r="L16" i="41"/>
  <c r="L29" i="7"/>
  <c r="X25" i="13"/>
  <c r="X22" i="40"/>
  <c r="L13" i="41"/>
  <c r="L22" i="26"/>
  <c r="X15" i="27"/>
  <c r="X22" i="99"/>
  <c r="L25" i="22"/>
  <c r="X15" i="40"/>
  <c r="X13" i="5"/>
  <c r="X24" i="7"/>
  <c r="L21" i="14"/>
  <c r="X25" i="27"/>
  <c r="X33" i="27"/>
  <c r="L33" i="24"/>
  <c r="X24" i="26"/>
  <c r="X34" i="26"/>
  <c r="X24" i="32"/>
  <c r="X21" i="33"/>
  <c r="L16" i="13"/>
  <c r="X22" i="13"/>
  <c r="L15" i="17"/>
  <c r="X15" i="41"/>
  <c r="X15" i="43"/>
  <c r="L33" i="46"/>
  <c r="X25" i="50"/>
  <c r="X33" i="50"/>
  <c r="X24" i="19"/>
  <c r="L15" i="24"/>
  <c r="L13" i="33"/>
  <c r="L25" i="33"/>
  <c r="L34" i="37"/>
  <c r="L21" i="38"/>
  <c r="X25" i="38"/>
  <c r="X33" i="38"/>
  <c r="L33" i="40"/>
  <c r="L34" i="52"/>
  <c r="X24" i="8"/>
  <c r="L16" i="10"/>
  <c r="L13" i="11"/>
  <c r="L25" i="16"/>
  <c r="L33" i="16"/>
  <c r="X20" i="17"/>
  <c r="L22" i="17"/>
  <c r="X29" i="24"/>
  <c r="X34" i="24"/>
  <c r="X24" i="29"/>
  <c r="L15" i="30"/>
  <c r="X21" i="30"/>
  <c r="L34" i="30"/>
  <c r="L34" i="35"/>
  <c r="L15" i="38"/>
  <c r="X13" i="40"/>
  <c r="X13" i="47"/>
  <c r="X25" i="47"/>
  <c r="X33" i="47"/>
  <c r="L20" i="52"/>
  <c r="L15" i="53"/>
  <c r="L34" i="53"/>
  <c r="X16" i="22"/>
  <c r="X13" i="37"/>
  <c r="L29" i="20"/>
  <c r="L15" i="4"/>
  <c r="X21" i="24"/>
  <c r="L25" i="99"/>
  <c r="X33" i="46"/>
  <c r="X29" i="5"/>
  <c r="L25" i="8"/>
  <c r="L15" i="10"/>
  <c r="X21" i="10"/>
  <c r="X16" i="11"/>
  <c r="X20" i="13"/>
  <c r="X29" i="14"/>
  <c r="L33" i="20"/>
  <c r="X13" i="22"/>
  <c r="X24" i="35"/>
  <c r="X12" i="38"/>
  <c r="L15" i="46"/>
  <c r="L29" i="46"/>
  <c r="L22" i="49"/>
  <c r="X29" i="98"/>
  <c r="L16" i="14"/>
  <c r="X25" i="20"/>
  <c r="L34" i="29"/>
  <c r="X16" i="98"/>
  <c r="X20" i="99"/>
  <c r="X29" i="30"/>
  <c r="X20" i="37"/>
  <c r="L33" i="8"/>
  <c r="L29" i="10"/>
  <c r="X20" i="5"/>
  <c r="L22" i="5"/>
  <c r="X13" i="7"/>
  <c r="L21" i="7"/>
  <c r="X25" i="7"/>
  <c r="X25" i="17"/>
  <c r="X33" i="17"/>
  <c r="X13" i="19"/>
  <c r="X33" i="19"/>
  <c r="X22" i="20"/>
  <c r="X22" i="27"/>
  <c r="L22" i="30"/>
  <c r="L33" i="30"/>
  <c r="X20" i="32"/>
  <c r="L20" i="33"/>
  <c r="L22" i="35"/>
  <c r="L15" i="43"/>
  <c r="L34" i="43"/>
  <c r="L24" i="44"/>
  <c r="L13" i="98"/>
  <c r="L15" i="99"/>
  <c r="L16" i="100"/>
  <c r="X34" i="17"/>
  <c r="X22" i="37"/>
  <c r="L13" i="53"/>
  <c r="X16" i="100"/>
  <c r="X13" i="16"/>
  <c r="X34" i="20"/>
  <c r="X29" i="22"/>
  <c r="X15" i="26"/>
  <c r="F36" i="30"/>
  <c r="Z12" i="100"/>
  <c r="L20" i="100"/>
  <c r="X13" i="4"/>
  <c r="X29" i="10"/>
  <c r="L20" i="11"/>
  <c r="L34" i="11"/>
  <c r="L25" i="13"/>
  <c r="L22" i="14"/>
  <c r="X22" i="19"/>
  <c r="L25" i="19"/>
  <c r="L15" i="33"/>
  <c r="J21" i="33"/>
  <c r="X25" i="33"/>
  <c r="L21" i="35"/>
  <c r="L29" i="53"/>
  <c r="L16" i="98"/>
  <c r="X20" i="100"/>
  <c r="X29" i="100"/>
  <c r="X34" i="100"/>
  <c r="X21" i="8"/>
  <c r="L33" i="10"/>
  <c r="N25" i="22"/>
  <c r="L20" i="23"/>
  <c r="L29" i="29"/>
  <c r="H18" i="35"/>
  <c r="X21" i="17"/>
  <c r="L29" i="17"/>
  <c r="L34" i="17"/>
  <c r="L15" i="19"/>
  <c r="X21" i="19"/>
  <c r="L24" i="19"/>
  <c r="L21" i="20"/>
  <c r="L15" i="22"/>
  <c r="X21" i="22"/>
  <c r="X15" i="35"/>
  <c r="L20" i="47"/>
  <c r="X24" i="47"/>
  <c r="L16" i="49"/>
  <c r="X22" i="49"/>
  <c r="L13" i="50"/>
  <c r="L13" i="52"/>
  <c r="X29" i="53"/>
  <c r="L15" i="5"/>
  <c r="L24" i="5"/>
  <c r="L34" i="5"/>
  <c r="X20" i="7"/>
  <c r="X34" i="8"/>
  <c r="L22" i="11"/>
  <c r="L25" i="11"/>
  <c r="L33" i="11"/>
  <c r="L15" i="13"/>
  <c r="X21" i="13"/>
  <c r="L29" i="13"/>
  <c r="X16" i="14"/>
  <c r="L20" i="17"/>
  <c r="L22" i="27"/>
  <c r="X24" i="27"/>
  <c r="X20" i="29"/>
  <c r="X24" i="30"/>
  <c r="X24" i="33"/>
  <c r="J34" i="33"/>
  <c r="X29" i="35"/>
  <c r="X34" i="35"/>
  <c r="X29" i="38"/>
  <c r="X34" i="38"/>
  <c r="L33" i="43"/>
  <c r="X22" i="46"/>
  <c r="L21" i="49"/>
  <c r="X25" i="49"/>
  <c r="X33" i="49"/>
  <c r="X22" i="50"/>
  <c r="X21" i="16"/>
  <c r="L34" i="4"/>
  <c r="F34" i="4"/>
  <c r="X16" i="5"/>
  <c r="X34" i="7"/>
  <c r="L20" i="8"/>
  <c r="L29" i="8"/>
  <c r="L34" i="8"/>
  <c r="L13" i="10"/>
  <c r="X15" i="13"/>
  <c r="X21" i="14"/>
  <c r="R21" i="16"/>
  <c r="L29" i="16"/>
  <c r="L34" i="16"/>
  <c r="X16" i="17"/>
  <c r="L24" i="17"/>
  <c r="X16" i="19"/>
  <c r="L13" i="20"/>
  <c r="X20" i="20"/>
  <c r="L22" i="20"/>
  <c r="L34" i="20"/>
  <c r="X15" i="22"/>
  <c r="L24" i="22"/>
  <c r="X33" i="22"/>
  <c r="L13" i="23"/>
  <c r="L20" i="26"/>
  <c r="X29" i="27"/>
  <c r="X34" i="27"/>
  <c r="X29" i="29"/>
  <c r="X25" i="30"/>
  <c r="X16" i="33"/>
  <c r="R31" i="33"/>
  <c r="X34" i="33"/>
  <c r="L29" i="35"/>
  <c r="X15" i="37"/>
  <c r="X24" i="37"/>
  <c r="X16" i="38"/>
  <c r="L24" i="38"/>
  <c r="X20" i="40"/>
  <c r="X29" i="40"/>
  <c r="X34" i="40"/>
  <c r="L34" i="41"/>
  <c r="L13" i="44"/>
  <c r="L25" i="44"/>
  <c r="X16" i="46"/>
  <c r="X34" i="47"/>
  <c r="L33" i="49"/>
  <c r="X29" i="50"/>
  <c r="X34" i="50"/>
  <c r="X15" i="52"/>
  <c r="F34" i="52"/>
  <c r="X16" i="53"/>
  <c r="L22" i="98"/>
  <c r="L16" i="99"/>
  <c r="L29" i="99"/>
  <c r="X24" i="100"/>
  <c r="L33" i="7"/>
  <c r="X25" i="10"/>
  <c r="X13" i="20"/>
  <c r="L16" i="20"/>
  <c r="L29" i="22"/>
  <c r="N20" i="23"/>
  <c r="X20" i="26"/>
  <c r="R21" i="30"/>
  <c r="L34" i="38"/>
  <c r="L21" i="44"/>
  <c r="L16" i="50"/>
  <c r="L25" i="50"/>
  <c r="L33" i="50"/>
  <c r="L25" i="52"/>
  <c r="X34" i="52"/>
  <c r="X24" i="53"/>
  <c r="J22" i="98"/>
  <c r="X16" i="99"/>
  <c r="L16" i="7"/>
  <c r="X15" i="17"/>
  <c r="J18" i="27"/>
  <c r="J27" i="33"/>
  <c r="X20" i="11"/>
  <c r="X13" i="23"/>
  <c r="L16" i="23"/>
  <c r="J29" i="23"/>
  <c r="X16" i="29"/>
  <c r="X20" i="33"/>
  <c r="L22" i="46"/>
  <c r="X25" i="52"/>
  <c r="X33" i="52"/>
  <c r="V31" i="100"/>
  <c r="L25" i="5"/>
  <c r="L24" i="7"/>
  <c r="L21" i="8"/>
  <c r="L34" i="10"/>
  <c r="X13" i="11"/>
  <c r="L24" i="13"/>
  <c r="L25" i="14"/>
  <c r="X22" i="16"/>
  <c r="L13" i="17"/>
  <c r="L33" i="17"/>
  <c r="L22" i="19"/>
  <c r="L15" i="20"/>
  <c r="L15" i="23"/>
  <c r="J22" i="23"/>
  <c r="X34" i="23"/>
  <c r="L34" i="24"/>
  <c r="X13" i="26"/>
  <c r="X22" i="26"/>
  <c r="N12" i="29"/>
  <c r="L24" i="29"/>
  <c r="L15" i="32"/>
  <c r="X16" i="32"/>
  <c r="L22" i="33"/>
  <c r="L34" i="33"/>
  <c r="X25" i="35"/>
  <c r="X33" i="35"/>
  <c r="X16" i="37"/>
  <c r="Z22" i="37"/>
  <c r="L33" i="38"/>
  <c r="X21" i="40"/>
  <c r="X22" i="41"/>
  <c r="X29" i="43"/>
  <c r="L24" i="47"/>
  <c r="X21" i="50"/>
  <c r="L22" i="53"/>
  <c r="X21" i="98"/>
  <c r="L24" i="98"/>
  <c r="X15" i="99"/>
  <c r="L33" i="99"/>
  <c r="X25" i="100"/>
  <c r="L33" i="22"/>
  <c r="T18" i="24"/>
  <c r="Z18" i="24" s="1"/>
  <c r="X16" i="26"/>
  <c r="L13" i="27"/>
  <c r="L34" i="27"/>
  <c r="L20" i="29"/>
  <c r="L16" i="30"/>
  <c r="L25" i="30"/>
  <c r="L16" i="33"/>
  <c r="X29" i="33"/>
  <c r="L24" i="37"/>
  <c r="X22" i="38"/>
  <c r="L29" i="40"/>
  <c r="L34" i="40"/>
  <c r="X13" i="41"/>
  <c r="X25" i="41"/>
  <c r="X33" i="41"/>
  <c r="X13" i="43"/>
  <c r="L25" i="43"/>
  <c r="X15" i="44"/>
  <c r="X29" i="46"/>
  <c r="L13" i="49"/>
  <c r="X29" i="49"/>
  <c r="X34" i="49"/>
  <c r="L15" i="52"/>
  <c r="L29" i="52"/>
  <c r="L16" i="53"/>
  <c r="L33" i="53"/>
  <c r="L20" i="98"/>
  <c r="X25" i="99"/>
  <c r="L24" i="100"/>
  <c r="X24" i="4"/>
  <c r="L29" i="4"/>
  <c r="L13" i="5"/>
  <c r="D18" i="7"/>
  <c r="J15" i="10"/>
  <c r="L20" i="13"/>
  <c r="L20" i="16"/>
  <c r="X15" i="19"/>
  <c r="L20" i="19"/>
  <c r="R22" i="19"/>
  <c r="L22" i="23"/>
  <c r="J36" i="26"/>
  <c r="J25" i="29"/>
  <c r="X15" i="30"/>
  <c r="D18" i="30"/>
  <c r="F33" i="30"/>
  <c r="L21" i="32"/>
  <c r="F21" i="33"/>
  <c r="J24" i="33"/>
  <c r="X20" i="35"/>
  <c r="J25" i="40"/>
  <c r="L12" i="41"/>
  <c r="F15" i="49"/>
  <c r="X21" i="53"/>
  <c r="L25" i="53"/>
  <c r="L12" i="98"/>
  <c r="F18" i="98"/>
  <c r="J24" i="98"/>
  <c r="X33" i="99"/>
  <c r="F36" i="99"/>
  <c r="J15" i="100"/>
  <c r="V20" i="100"/>
  <c r="J25" i="100"/>
  <c r="X21" i="5"/>
  <c r="F24" i="5"/>
  <c r="X25" i="5"/>
  <c r="X22" i="7"/>
  <c r="X22" i="10"/>
  <c r="V18" i="11"/>
  <c r="L21" i="11"/>
  <c r="F20" i="13"/>
  <c r="X33" i="13"/>
  <c r="L29" i="14"/>
  <c r="X33" i="14"/>
  <c r="X25" i="16"/>
  <c r="X33" i="16"/>
  <c r="L16" i="17"/>
  <c r="X22" i="17"/>
  <c r="V31" i="17"/>
  <c r="X29" i="19"/>
  <c r="X20" i="22"/>
  <c r="X34" i="22"/>
  <c r="N12" i="26"/>
  <c r="L21" i="26"/>
  <c r="X33" i="26"/>
  <c r="J15" i="27"/>
  <c r="J22" i="27"/>
  <c r="J24" i="29"/>
  <c r="X13" i="30"/>
  <c r="R18" i="30"/>
  <c r="J22" i="30"/>
  <c r="F27" i="30"/>
  <c r="R25" i="32"/>
  <c r="J18" i="33"/>
  <c r="J22" i="33"/>
  <c r="J31" i="33"/>
  <c r="N12" i="35"/>
  <c r="V15" i="35"/>
  <c r="V16" i="35"/>
  <c r="R18" i="37"/>
  <c r="X20" i="38"/>
  <c r="F31" i="40"/>
  <c r="L24" i="41"/>
  <c r="L29" i="43"/>
  <c r="L13" i="46"/>
  <c r="X15" i="46"/>
  <c r="J18" i="46"/>
  <c r="F15" i="47"/>
  <c r="X16" i="47"/>
  <c r="X29" i="47"/>
  <c r="L34" i="47"/>
  <c r="X13" i="50"/>
  <c r="X24" i="50"/>
  <c r="L29" i="50"/>
  <c r="L34" i="50"/>
  <c r="L16" i="52"/>
  <c r="X29" i="52"/>
  <c r="L20" i="53"/>
  <c r="N12" i="98"/>
  <c r="X13" i="98"/>
  <c r="J18" i="98"/>
  <c r="L20" i="99"/>
  <c r="R33" i="99"/>
  <c r="V36" i="99"/>
  <c r="N12" i="100"/>
  <c r="V16" i="100"/>
  <c r="L22" i="100"/>
  <c r="J34" i="100"/>
  <c r="V18" i="41"/>
  <c r="R25" i="100"/>
  <c r="X24" i="5"/>
  <c r="F18" i="7"/>
  <c r="L22" i="13"/>
  <c r="F29" i="13"/>
  <c r="L34" i="13"/>
  <c r="R20" i="19"/>
  <c r="Z12" i="23"/>
  <c r="J15" i="26"/>
  <c r="J21" i="26"/>
  <c r="J21" i="27"/>
  <c r="Z25" i="29"/>
  <c r="N12" i="30"/>
  <c r="F25" i="30"/>
  <c r="L29" i="32"/>
  <c r="L29" i="33"/>
  <c r="J18" i="35"/>
  <c r="L13" i="37"/>
  <c r="X34" i="37"/>
  <c r="L20" i="41"/>
  <c r="X22" i="44"/>
  <c r="X15" i="47"/>
  <c r="F25" i="47"/>
  <c r="X24" i="49"/>
  <c r="L15" i="50"/>
  <c r="L33" i="52"/>
  <c r="X13" i="53"/>
  <c r="F20" i="98"/>
  <c r="F29" i="98"/>
  <c r="J33" i="98"/>
  <c r="F36" i="98"/>
  <c r="L24" i="99"/>
  <c r="L34" i="99"/>
  <c r="J18" i="100"/>
  <c r="L21" i="100"/>
  <c r="J22" i="100"/>
  <c r="R24" i="100"/>
  <c r="L21" i="4"/>
  <c r="V31" i="4"/>
  <c r="V34" i="8"/>
  <c r="R20" i="16"/>
  <c r="R16" i="22"/>
  <c r="V18" i="24"/>
  <c r="J25" i="26"/>
  <c r="V31" i="27"/>
  <c r="L15" i="29"/>
  <c r="V27" i="29"/>
  <c r="J33" i="29"/>
  <c r="J36" i="29"/>
  <c r="F15" i="30"/>
  <c r="X20" i="30"/>
  <c r="F34" i="32"/>
  <c r="X12" i="35"/>
  <c r="V18" i="35"/>
  <c r="J36" i="35"/>
  <c r="L12" i="38"/>
  <c r="R24" i="41"/>
  <c r="Z22" i="44"/>
  <c r="V18" i="47"/>
  <c r="J18" i="50"/>
  <c r="L12" i="53"/>
  <c r="X12" i="100"/>
  <c r="V34" i="100"/>
  <c r="J24" i="7"/>
  <c r="R20" i="10"/>
  <c r="L12" i="13"/>
  <c r="L15" i="14"/>
  <c r="X22" i="14"/>
  <c r="H18" i="20"/>
  <c r="H27" i="20" s="1"/>
  <c r="X21" i="23"/>
  <c r="X25" i="23"/>
  <c r="X15" i="24"/>
  <c r="L33" i="26"/>
  <c r="L16" i="27"/>
  <c r="X12" i="29"/>
  <c r="J15" i="29"/>
  <c r="V16" i="29"/>
  <c r="J29" i="33"/>
  <c r="J33" i="33"/>
  <c r="J36" i="33"/>
  <c r="J15" i="35"/>
  <c r="L16" i="35"/>
  <c r="L20" i="35"/>
  <c r="R33" i="37"/>
  <c r="V16" i="38"/>
  <c r="L15" i="40"/>
  <c r="L21" i="40"/>
  <c r="X16" i="43"/>
  <c r="X22" i="43"/>
  <c r="L12" i="46"/>
  <c r="L16" i="46"/>
  <c r="X13" i="49"/>
  <c r="J18" i="52"/>
  <c r="N12" i="53"/>
  <c r="N22" i="53"/>
  <c r="J15" i="98"/>
  <c r="J29" i="98"/>
  <c r="R16" i="99"/>
  <c r="R36" i="100"/>
  <c r="F16" i="7"/>
  <c r="V21" i="11"/>
  <c r="X25" i="11"/>
  <c r="F25" i="13"/>
  <c r="R24" i="19"/>
  <c r="R15" i="22"/>
  <c r="P18" i="22"/>
  <c r="P27" i="22" s="1"/>
  <c r="X24" i="24"/>
  <c r="V34" i="27"/>
  <c r="X15" i="29"/>
  <c r="T18" i="29"/>
  <c r="Z18" i="29" s="1"/>
  <c r="L21" i="29"/>
  <c r="R16" i="30"/>
  <c r="F31" i="30"/>
  <c r="F34" i="30"/>
  <c r="L16" i="32"/>
  <c r="X22" i="32"/>
  <c r="N12" i="33"/>
  <c r="F24" i="33"/>
  <c r="J25" i="33"/>
  <c r="J22" i="46"/>
  <c r="X22" i="53"/>
  <c r="R15" i="99"/>
  <c r="R25" i="99"/>
  <c r="R22" i="100"/>
  <c r="J18" i="5"/>
  <c r="L33" i="5"/>
  <c r="X15" i="14"/>
  <c r="L24" i="14"/>
  <c r="L33" i="14"/>
  <c r="J18" i="19"/>
  <c r="L34" i="19"/>
  <c r="Z25" i="20"/>
  <c r="J36" i="20"/>
  <c r="J33" i="26"/>
  <c r="N12" i="27"/>
  <c r="V27" i="27"/>
  <c r="F22" i="30"/>
  <c r="R24" i="30"/>
  <c r="T18" i="40"/>
  <c r="T27" i="40" s="1"/>
  <c r="N16" i="41"/>
  <c r="P18" i="43"/>
  <c r="P27" i="43" s="1"/>
  <c r="F15" i="46"/>
  <c r="D18" i="98"/>
  <c r="J25" i="98"/>
  <c r="V24" i="99"/>
  <c r="L13" i="100"/>
  <c r="J29" i="100"/>
  <c r="L13" i="4"/>
  <c r="R15" i="4"/>
  <c r="R18" i="4"/>
  <c r="J21" i="4"/>
  <c r="R29" i="4"/>
  <c r="P18" i="5"/>
  <c r="P27" i="5" s="1"/>
  <c r="R16" i="5"/>
  <c r="N24" i="5"/>
  <c r="T18" i="7"/>
  <c r="T27" i="7" s="1"/>
  <c r="X16" i="7"/>
  <c r="F20" i="7"/>
  <c r="X33" i="7"/>
  <c r="R16" i="8"/>
  <c r="L12" i="10"/>
  <c r="F24" i="10"/>
  <c r="L25" i="10"/>
  <c r="J15" i="11"/>
  <c r="V22" i="11"/>
  <c r="J29" i="11"/>
  <c r="F24" i="13"/>
  <c r="L33" i="13"/>
  <c r="X20" i="14"/>
  <c r="L15" i="16"/>
  <c r="F20" i="16"/>
  <c r="F21" i="20"/>
  <c r="X33" i="20"/>
  <c r="Z33" i="20"/>
  <c r="L20" i="4"/>
  <c r="X22" i="4"/>
  <c r="F27" i="4"/>
  <c r="R33" i="4"/>
  <c r="X34" i="4"/>
  <c r="R15" i="5"/>
  <c r="R22" i="5"/>
  <c r="V15" i="7"/>
  <c r="F29" i="7"/>
  <c r="L13" i="8"/>
  <c r="R15" i="8"/>
  <c r="H18" i="10"/>
  <c r="H27" i="10" s="1"/>
  <c r="N27" i="10" s="1"/>
  <c r="F20" i="11"/>
  <c r="J36" i="11"/>
  <c r="F36" i="13"/>
  <c r="V21" i="14"/>
  <c r="L13" i="16"/>
  <c r="X15" i="16"/>
  <c r="L21" i="23"/>
  <c r="F22" i="29"/>
  <c r="F33" i="29"/>
  <c r="L12" i="29"/>
  <c r="F31" i="29"/>
  <c r="F25" i="29"/>
  <c r="F24" i="29"/>
  <c r="F15" i="29"/>
  <c r="F20" i="29"/>
  <c r="F21" i="29"/>
  <c r="X13" i="33"/>
  <c r="F15" i="35"/>
  <c r="X21" i="4"/>
  <c r="J27" i="4"/>
  <c r="F31" i="4"/>
  <c r="R20" i="5"/>
  <c r="V16" i="7"/>
  <c r="L20" i="7"/>
  <c r="F21" i="7"/>
  <c r="F22" i="7"/>
  <c r="L25" i="7"/>
  <c r="P18" i="8"/>
  <c r="P27" i="8" s="1"/>
  <c r="R24" i="8"/>
  <c r="F15" i="10"/>
  <c r="J18" i="10"/>
  <c r="L22" i="10"/>
  <c r="X15" i="11"/>
  <c r="F21" i="11"/>
  <c r="F22" i="11"/>
  <c r="L24" i="11"/>
  <c r="J25" i="11"/>
  <c r="X29" i="11"/>
  <c r="Z33" i="11"/>
  <c r="X13" i="13"/>
  <c r="R16" i="13"/>
  <c r="R21" i="13"/>
  <c r="X24" i="13"/>
  <c r="J15" i="14"/>
  <c r="J33" i="14"/>
  <c r="X16" i="16"/>
  <c r="X15" i="20"/>
  <c r="Z15" i="20"/>
  <c r="J21" i="8"/>
  <c r="L16" i="4"/>
  <c r="R21" i="4"/>
  <c r="V22" i="4"/>
  <c r="L25" i="4"/>
  <c r="V27" i="4"/>
  <c r="J31" i="4"/>
  <c r="V34" i="4"/>
  <c r="X33" i="5"/>
  <c r="F25" i="7"/>
  <c r="X29" i="7"/>
  <c r="X13" i="8"/>
  <c r="V15" i="8"/>
  <c r="R18" i="8"/>
  <c r="L22" i="8"/>
  <c r="R25" i="8"/>
  <c r="R29" i="8"/>
  <c r="R33" i="8"/>
  <c r="X24" i="10"/>
  <c r="Z15" i="11"/>
  <c r="V16" i="11"/>
  <c r="R22" i="13"/>
  <c r="X29" i="13"/>
  <c r="L13" i="14"/>
  <c r="V22" i="14"/>
  <c r="J29" i="14"/>
  <c r="Z16" i="16"/>
  <c r="L29" i="19"/>
  <c r="L13" i="26"/>
  <c r="N12" i="13"/>
  <c r="D18" i="13"/>
  <c r="D27" i="13" s="1"/>
  <c r="D31" i="13" s="1"/>
  <c r="R20" i="13"/>
  <c r="J25" i="14"/>
  <c r="F21" i="16"/>
  <c r="F36" i="16"/>
  <c r="F29" i="16"/>
  <c r="F25" i="16"/>
  <c r="F27" i="16"/>
  <c r="F24" i="16"/>
  <c r="F22" i="16"/>
  <c r="F34" i="16"/>
  <c r="F31" i="16"/>
  <c r="F18" i="16"/>
  <c r="F20" i="27"/>
  <c r="L12" i="27"/>
  <c r="F34" i="27"/>
  <c r="F29" i="27"/>
  <c r="F31" i="27"/>
  <c r="F18" i="27"/>
  <c r="F27" i="27"/>
  <c r="D18" i="27"/>
  <c r="F15" i="27"/>
  <c r="F25" i="27"/>
  <c r="V24" i="33"/>
  <c r="Z12" i="33"/>
  <c r="V21" i="33"/>
  <c r="F22" i="35"/>
  <c r="F36" i="35"/>
  <c r="F33" i="35"/>
  <c r="F27" i="35"/>
  <c r="F25" i="35"/>
  <c r="F31" i="35"/>
  <c r="F29" i="35"/>
  <c r="F34" i="35"/>
  <c r="F16" i="35"/>
  <c r="F18" i="35"/>
  <c r="L12" i="35"/>
  <c r="D18" i="35"/>
  <c r="D27" i="35" s="1"/>
  <c r="D31" i="35" s="1"/>
  <c r="F24" i="35"/>
  <c r="F20" i="35"/>
  <c r="L33" i="4"/>
  <c r="R36" i="4"/>
  <c r="F16" i="5"/>
  <c r="R18" i="5"/>
  <c r="L29" i="5"/>
  <c r="Z12" i="7"/>
  <c r="F15" i="7"/>
  <c r="R18" i="7"/>
  <c r="X21" i="7"/>
  <c r="R22" i="7"/>
  <c r="V29" i="7"/>
  <c r="L15" i="8"/>
  <c r="L16" i="8"/>
  <c r="X22" i="8"/>
  <c r="F27" i="8"/>
  <c r="F31" i="8"/>
  <c r="X16" i="10"/>
  <c r="L20" i="10"/>
  <c r="L16" i="11"/>
  <c r="F18" i="11"/>
  <c r="X21" i="11"/>
  <c r="Z25" i="11"/>
  <c r="F15" i="13"/>
  <c r="F16" i="13"/>
  <c r="J18" i="13"/>
  <c r="H18" i="14"/>
  <c r="N18" i="14" s="1"/>
  <c r="F21" i="14"/>
  <c r="F22" i="14"/>
  <c r="J36" i="14"/>
  <c r="J20" i="16"/>
  <c r="J24" i="16"/>
  <c r="D18" i="16"/>
  <c r="D27" i="16" s="1"/>
  <c r="D31" i="16" s="1"/>
  <c r="F16" i="16"/>
  <c r="J18" i="16"/>
  <c r="X20" i="16"/>
  <c r="L24" i="16"/>
  <c r="N24" i="16"/>
  <c r="F24" i="26"/>
  <c r="F34" i="26"/>
  <c r="F22" i="26"/>
  <c r="F31" i="26"/>
  <c r="F21" i="26"/>
  <c r="F20" i="26"/>
  <c r="F16" i="26"/>
  <c r="F18" i="26"/>
  <c r="V31" i="32"/>
  <c r="V27" i="32"/>
  <c r="V22" i="32"/>
  <c r="V34" i="32"/>
  <c r="V16" i="33"/>
  <c r="R34" i="40"/>
  <c r="R31" i="40"/>
  <c r="X12" i="4"/>
  <c r="J34" i="4"/>
  <c r="J24" i="5"/>
  <c r="V18" i="7"/>
  <c r="V20" i="7"/>
  <c r="V27" i="8"/>
  <c r="V31" i="8"/>
  <c r="F34" i="8"/>
  <c r="R36" i="8"/>
  <c r="X13" i="10"/>
  <c r="X15" i="10"/>
  <c r="R16" i="10"/>
  <c r="X20" i="10"/>
  <c r="X33" i="10"/>
  <c r="Z12" i="11"/>
  <c r="L15" i="11"/>
  <c r="F16" i="11"/>
  <c r="H18" i="11"/>
  <c r="N18" i="11" s="1"/>
  <c r="V20" i="11"/>
  <c r="X22" i="11"/>
  <c r="L29" i="11"/>
  <c r="X34" i="11"/>
  <c r="F33" i="13"/>
  <c r="X13" i="14"/>
  <c r="L20" i="14"/>
  <c r="X25" i="14"/>
  <c r="R36" i="16"/>
  <c r="R24" i="16"/>
  <c r="R22" i="16"/>
  <c r="F15" i="16"/>
  <c r="R18" i="16"/>
  <c r="Z20" i="16"/>
  <c r="F22" i="20"/>
  <c r="F24" i="27"/>
  <c r="X33" i="30"/>
  <c r="P18" i="4"/>
  <c r="P27" i="4" s="1"/>
  <c r="L22" i="4"/>
  <c r="R25" i="4"/>
  <c r="F20" i="5"/>
  <c r="L13" i="7"/>
  <c r="X15" i="7"/>
  <c r="V21" i="7"/>
  <c r="V22" i="7"/>
  <c r="V25" i="7"/>
  <c r="X12" i="8"/>
  <c r="R20" i="8"/>
  <c r="R21" i="8"/>
  <c r="J33" i="11"/>
  <c r="L22" i="16"/>
  <c r="J24" i="17"/>
  <c r="J33" i="17"/>
  <c r="J15" i="17"/>
  <c r="J34" i="17"/>
  <c r="J29" i="17"/>
  <c r="J25" i="17"/>
  <c r="J31" i="17"/>
  <c r="J27" i="17"/>
  <c r="J21" i="17"/>
  <c r="H18" i="17"/>
  <c r="H27" i="17" s="1"/>
  <c r="L16" i="19"/>
  <c r="L33" i="19"/>
  <c r="F27" i="26"/>
  <c r="N22" i="29"/>
  <c r="L22" i="29"/>
  <c r="V24" i="32"/>
  <c r="L21" i="17"/>
  <c r="F24" i="19"/>
  <c r="F27" i="19"/>
  <c r="F31" i="19"/>
  <c r="J15" i="20"/>
  <c r="X16" i="20"/>
  <c r="L25" i="20"/>
  <c r="J33" i="20"/>
  <c r="Z16" i="22"/>
  <c r="J27" i="22"/>
  <c r="N12" i="23"/>
  <c r="X15" i="23"/>
  <c r="X16" i="23"/>
  <c r="X22" i="23"/>
  <c r="N12" i="24"/>
  <c r="D18" i="24"/>
  <c r="D27" i="24" s="1"/>
  <c r="D31" i="24" s="1"/>
  <c r="R21" i="24"/>
  <c r="X22" i="24"/>
  <c r="F31" i="24"/>
  <c r="F34" i="24"/>
  <c r="Z12" i="26"/>
  <c r="X21" i="26"/>
  <c r="J22" i="26"/>
  <c r="J24" i="26"/>
  <c r="X25" i="26"/>
  <c r="J29" i="26"/>
  <c r="R21" i="27"/>
  <c r="J18" i="29"/>
  <c r="R22" i="29"/>
  <c r="J29" i="29"/>
  <c r="L33" i="29"/>
  <c r="X16" i="30"/>
  <c r="L20" i="30"/>
  <c r="F21" i="30"/>
  <c r="F24" i="30"/>
  <c r="F29" i="30"/>
  <c r="R15" i="32"/>
  <c r="L22" i="32"/>
  <c r="X34" i="32"/>
  <c r="J15" i="33"/>
  <c r="X33" i="33"/>
  <c r="V36" i="35"/>
  <c r="V34" i="35"/>
  <c r="V31" i="35"/>
  <c r="V27" i="35"/>
  <c r="T18" i="35"/>
  <c r="T27" i="35" s="1"/>
  <c r="Z27" i="35" s="1"/>
  <c r="V20" i="35"/>
  <c r="V21" i="35"/>
  <c r="X13" i="38"/>
  <c r="F21" i="50"/>
  <c r="F34" i="50"/>
  <c r="F27" i="50"/>
  <c r="F31" i="50"/>
  <c r="R34" i="52"/>
  <c r="R16" i="52"/>
  <c r="R15" i="52"/>
  <c r="R20" i="52"/>
  <c r="X25" i="98"/>
  <c r="V34" i="17"/>
  <c r="L12" i="19"/>
  <c r="D18" i="19"/>
  <c r="D27" i="19" s="1"/>
  <c r="D31" i="19" s="1"/>
  <c r="R21" i="19"/>
  <c r="F25" i="19"/>
  <c r="F34" i="19"/>
  <c r="V22" i="20"/>
  <c r="J29" i="20"/>
  <c r="H18" i="22"/>
  <c r="H27" i="22" s="1"/>
  <c r="J31" i="22"/>
  <c r="R36" i="22"/>
  <c r="F20" i="23"/>
  <c r="L29" i="23"/>
  <c r="J33" i="23"/>
  <c r="F15" i="24"/>
  <c r="F18" i="24"/>
  <c r="R20" i="24"/>
  <c r="V24" i="24"/>
  <c r="L15" i="26"/>
  <c r="L16" i="26"/>
  <c r="H18" i="26"/>
  <c r="N18" i="26" s="1"/>
  <c r="V20" i="26"/>
  <c r="X12" i="27"/>
  <c r="R20" i="27"/>
  <c r="X21" i="27"/>
  <c r="P18" i="32"/>
  <c r="P27" i="32" s="1"/>
  <c r="X29" i="32"/>
  <c r="X33" i="32"/>
  <c r="L25" i="35"/>
  <c r="N25" i="35"/>
  <c r="X20" i="43"/>
  <c r="V21" i="98"/>
  <c r="V16" i="98"/>
  <c r="Z12" i="98"/>
  <c r="X13" i="17"/>
  <c r="N21" i="17"/>
  <c r="L25" i="17"/>
  <c r="V27" i="17"/>
  <c r="Z34" i="17"/>
  <c r="F15" i="19"/>
  <c r="F16" i="19"/>
  <c r="F18" i="19"/>
  <c r="F29" i="19"/>
  <c r="F33" i="19"/>
  <c r="L24" i="20"/>
  <c r="J25" i="20"/>
  <c r="L13" i="22"/>
  <c r="J15" i="22"/>
  <c r="L16" i="22"/>
  <c r="J18" i="22"/>
  <c r="L34" i="22"/>
  <c r="V16" i="23"/>
  <c r="F21" i="23"/>
  <c r="L24" i="23"/>
  <c r="L25" i="23"/>
  <c r="X33" i="23"/>
  <c r="L16" i="24"/>
  <c r="J18" i="24"/>
  <c r="F27" i="24"/>
  <c r="V18" i="26"/>
  <c r="V21" i="26"/>
  <c r="X29" i="26"/>
  <c r="R34" i="26"/>
  <c r="L16" i="29"/>
  <c r="X33" i="29"/>
  <c r="X34" i="29"/>
  <c r="L12" i="30"/>
  <c r="L13" i="30"/>
  <c r="R18" i="32"/>
  <c r="R29" i="32"/>
  <c r="R33" i="32"/>
  <c r="R36" i="32"/>
  <c r="X15" i="33"/>
  <c r="X22" i="33"/>
  <c r="L33" i="35"/>
  <c r="N33" i="35"/>
  <c r="X33" i="40"/>
  <c r="L16" i="43"/>
  <c r="N16" i="43"/>
  <c r="J18" i="99"/>
  <c r="J16" i="99"/>
  <c r="J20" i="99"/>
  <c r="R18" i="19"/>
  <c r="X20" i="19"/>
  <c r="L20" i="20"/>
  <c r="X29" i="20"/>
  <c r="L21" i="22"/>
  <c r="L22" i="22"/>
  <c r="X25" i="22"/>
  <c r="J34" i="22"/>
  <c r="F18" i="23"/>
  <c r="X20" i="23"/>
  <c r="J24" i="23"/>
  <c r="J25" i="23"/>
  <c r="X29" i="23"/>
  <c r="L21" i="24"/>
  <c r="F24" i="24"/>
  <c r="L25" i="26"/>
  <c r="V34" i="26"/>
  <c r="V18" i="27"/>
  <c r="L21" i="27"/>
  <c r="L25" i="27"/>
  <c r="N15" i="29"/>
  <c r="R27" i="29"/>
  <c r="F18" i="30"/>
  <c r="R20" i="30"/>
  <c r="X22" i="30"/>
  <c r="X12" i="32"/>
  <c r="X21" i="32"/>
  <c r="L34" i="32"/>
  <c r="H18" i="33"/>
  <c r="H27" i="33" s="1"/>
  <c r="N27" i="33" s="1"/>
  <c r="L24" i="33"/>
  <c r="J20" i="35"/>
  <c r="J29" i="35"/>
  <c r="J33" i="35"/>
  <c r="J25" i="35"/>
  <c r="J24" i="35"/>
  <c r="J22" i="35"/>
  <c r="L15" i="35"/>
  <c r="L16" i="37"/>
  <c r="N16" i="37"/>
  <c r="V29" i="43"/>
  <c r="V31" i="43"/>
  <c r="V18" i="43"/>
  <c r="V24" i="43"/>
  <c r="V21" i="43"/>
  <c r="J24" i="49"/>
  <c r="J15" i="49"/>
  <c r="J21" i="49"/>
  <c r="N12" i="49"/>
  <c r="X22" i="98"/>
  <c r="X33" i="98"/>
  <c r="V21" i="17"/>
  <c r="L13" i="19"/>
  <c r="X25" i="19"/>
  <c r="X21" i="20"/>
  <c r="X24" i="22"/>
  <c r="R25" i="22"/>
  <c r="F16" i="23"/>
  <c r="H18" i="23"/>
  <c r="V34" i="24"/>
  <c r="V27" i="26"/>
  <c r="L29" i="27"/>
  <c r="L25" i="29"/>
  <c r="R31" i="29"/>
  <c r="Z24" i="52"/>
  <c r="X24" i="52"/>
  <c r="X24" i="16"/>
  <c r="F20" i="19"/>
  <c r="F36" i="19"/>
  <c r="R29" i="22"/>
  <c r="V20" i="23"/>
  <c r="X24" i="23"/>
  <c r="R15" i="24"/>
  <c r="R16" i="24"/>
  <c r="L20" i="24"/>
  <c r="J21" i="24"/>
  <c r="L25" i="24"/>
  <c r="X33" i="24"/>
  <c r="L24" i="26"/>
  <c r="L29" i="26"/>
  <c r="V31" i="26"/>
  <c r="X13" i="27"/>
  <c r="R15" i="27"/>
  <c r="R24" i="27"/>
  <c r="N33" i="27"/>
  <c r="X13" i="29"/>
  <c r="X12" i="30"/>
  <c r="L13" i="32"/>
  <c r="R16" i="32"/>
  <c r="R20" i="32"/>
  <c r="L13" i="35"/>
  <c r="X29" i="44"/>
  <c r="J24" i="47"/>
  <c r="J18" i="47"/>
  <c r="J15" i="47"/>
  <c r="J29" i="47"/>
  <c r="J22" i="47"/>
  <c r="J25" i="47"/>
  <c r="N12" i="47"/>
  <c r="L12" i="47"/>
  <c r="X29" i="16"/>
  <c r="F21" i="17"/>
  <c r="X29" i="17"/>
  <c r="R16" i="19"/>
  <c r="F22" i="19"/>
  <c r="V21" i="20"/>
  <c r="R20" i="22"/>
  <c r="R33" i="22"/>
  <c r="J15" i="23"/>
  <c r="N16" i="23"/>
  <c r="V18" i="23"/>
  <c r="V21" i="23"/>
  <c r="R22" i="23"/>
  <c r="L12" i="24"/>
  <c r="J22" i="24"/>
  <c r="R24" i="24"/>
  <c r="V16" i="26"/>
  <c r="R16" i="27"/>
  <c r="X21" i="29"/>
  <c r="X22" i="29"/>
  <c r="N25" i="29"/>
  <c r="T18" i="30"/>
  <c r="T27" i="30" s="1"/>
  <c r="Z27" i="30" s="1"/>
  <c r="L21" i="30"/>
  <c r="L24" i="32"/>
  <c r="F16" i="33"/>
  <c r="F20" i="33"/>
  <c r="L33" i="33"/>
  <c r="R34" i="35"/>
  <c r="R31" i="35"/>
  <c r="X21" i="35"/>
  <c r="V20" i="98"/>
  <c r="F20" i="100"/>
  <c r="F18" i="100"/>
  <c r="F16" i="100"/>
  <c r="V18" i="37"/>
  <c r="R36" i="37"/>
  <c r="V15" i="38"/>
  <c r="R33" i="38"/>
  <c r="V18" i="40"/>
  <c r="F21" i="40"/>
  <c r="X16" i="41"/>
  <c r="L22" i="41"/>
  <c r="J16" i="43"/>
  <c r="R18" i="43"/>
  <c r="F31" i="43"/>
  <c r="F24" i="44"/>
  <c r="N12" i="46"/>
  <c r="X13" i="46"/>
  <c r="R16" i="46"/>
  <c r="J21" i="46"/>
  <c r="J25" i="46"/>
  <c r="F29" i="46"/>
  <c r="F31" i="46"/>
  <c r="F36" i="46"/>
  <c r="V15" i="47"/>
  <c r="L21" i="47"/>
  <c r="F22" i="47"/>
  <c r="F24" i="47"/>
  <c r="F29" i="47"/>
  <c r="R18" i="50"/>
  <c r="L22" i="50"/>
  <c r="J21" i="52"/>
  <c r="R16" i="98"/>
  <c r="J36" i="98"/>
  <c r="L12" i="99"/>
  <c r="L22" i="99"/>
  <c r="F24" i="99"/>
  <c r="V29" i="99"/>
  <c r="R36" i="99"/>
  <c r="V18" i="100"/>
  <c r="V21" i="100"/>
  <c r="R29" i="100"/>
  <c r="R33" i="100"/>
  <c r="R15" i="37"/>
  <c r="L22" i="37"/>
  <c r="R20" i="38"/>
  <c r="X24" i="38"/>
  <c r="R25" i="38"/>
  <c r="R29" i="38"/>
  <c r="J15" i="40"/>
  <c r="L16" i="40"/>
  <c r="L20" i="40"/>
  <c r="J29" i="40"/>
  <c r="V31" i="40"/>
  <c r="R16" i="41"/>
  <c r="F20" i="41"/>
  <c r="F22" i="41"/>
  <c r="L13" i="43"/>
  <c r="X13" i="44"/>
  <c r="D18" i="44"/>
  <c r="D27" i="44" s="1"/>
  <c r="F22" i="44"/>
  <c r="X20" i="46"/>
  <c r="R24" i="46"/>
  <c r="J36" i="46"/>
  <c r="F21" i="47"/>
  <c r="F33" i="47"/>
  <c r="L20" i="49"/>
  <c r="F27" i="49"/>
  <c r="L20" i="50"/>
  <c r="X22" i="52"/>
  <c r="D18" i="53"/>
  <c r="D27" i="53" s="1"/>
  <c r="F22" i="99"/>
  <c r="L20" i="37"/>
  <c r="L21" i="37"/>
  <c r="F22" i="37"/>
  <c r="R29" i="37"/>
  <c r="Z12" i="38"/>
  <c r="D18" i="38"/>
  <c r="D27" i="38" s="1"/>
  <c r="R22" i="38"/>
  <c r="V33" i="38"/>
  <c r="J21" i="40"/>
  <c r="V34" i="40"/>
  <c r="R15" i="43"/>
  <c r="F18" i="44"/>
  <c r="J31" i="44"/>
  <c r="D18" i="46"/>
  <c r="D27" i="46" s="1"/>
  <c r="D31" i="46" s="1"/>
  <c r="R20" i="46"/>
  <c r="J29" i="46"/>
  <c r="F33" i="46"/>
  <c r="L34" i="46"/>
  <c r="F20" i="49"/>
  <c r="J21" i="50"/>
  <c r="F27" i="52"/>
  <c r="F15" i="53"/>
  <c r="F18" i="53"/>
  <c r="X20" i="53"/>
  <c r="J33" i="53"/>
  <c r="L25" i="98"/>
  <c r="R27" i="98"/>
  <c r="L33" i="98"/>
  <c r="F15" i="99"/>
  <c r="F25" i="99"/>
  <c r="F29" i="99"/>
  <c r="F33" i="99"/>
  <c r="X15" i="100"/>
  <c r="J27" i="100"/>
  <c r="N12" i="37"/>
  <c r="V15" i="37"/>
  <c r="J20" i="37"/>
  <c r="F15" i="38"/>
  <c r="P18" i="38"/>
  <c r="P27" i="38" s="1"/>
  <c r="V20" i="38"/>
  <c r="X21" i="38"/>
  <c r="V25" i="38"/>
  <c r="V29" i="38"/>
  <c r="F36" i="38"/>
  <c r="L13" i="40"/>
  <c r="L22" i="40"/>
  <c r="X24" i="40"/>
  <c r="X25" i="40"/>
  <c r="F34" i="40"/>
  <c r="N12" i="41"/>
  <c r="J22" i="41"/>
  <c r="F24" i="41"/>
  <c r="L20" i="43"/>
  <c r="L21" i="43"/>
  <c r="F24" i="43"/>
  <c r="F33" i="43"/>
  <c r="J18" i="44"/>
  <c r="F18" i="46"/>
  <c r="V24" i="46"/>
  <c r="F34" i="46"/>
  <c r="D18" i="47"/>
  <c r="D27" i="47" s="1"/>
  <c r="X12" i="50"/>
  <c r="V24" i="50"/>
  <c r="X21" i="52"/>
  <c r="F31" i="52"/>
  <c r="F16" i="53"/>
  <c r="H18" i="53"/>
  <c r="N18" i="53" s="1"/>
  <c r="L24" i="53"/>
  <c r="J29" i="53"/>
  <c r="J36" i="53"/>
  <c r="F15" i="98"/>
  <c r="F16" i="98"/>
  <c r="F21" i="98"/>
  <c r="F25" i="98"/>
  <c r="F33" i="98"/>
  <c r="D18" i="99"/>
  <c r="D27" i="99" s="1"/>
  <c r="X21" i="99"/>
  <c r="R15" i="100"/>
  <c r="J21" i="100"/>
  <c r="J24" i="100"/>
  <c r="V27" i="100"/>
  <c r="J31" i="100"/>
  <c r="N20" i="37"/>
  <c r="R25" i="37"/>
  <c r="L13" i="38"/>
  <c r="R18" i="38"/>
  <c r="R21" i="38"/>
  <c r="J27" i="38"/>
  <c r="J31" i="38"/>
  <c r="R36" i="38"/>
  <c r="J33" i="40"/>
  <c r="J36" i="40"/>
  <c r="D18" i="41"/>
  <c r="D27" i="41" s="1"/>
  <c r="D31" i="41" s="1"/>
  <c r="D36" i="41" s="1"/>
  <c r="F16" i="41"/>
  <c r="F18" i="41"/>
  <c r="J20" i="43"/>
  <c r="R34" i="43"/>
  <c r="J33" i="46"/>
  <c r="F18" i="47"/>
  <c r="X20" i="47"/>
  <c r="R21" i="47"/>
  <c r="V25" i="47"/>
  <c r="X21" i="49"/>
  <c r="L25" i="49"/>
  <c r="P18" i="52"/>
  <c r="P27" i="52" s="1"/>
  <c r="F24" i="52"/>
  <c r="J15" i="53"/>
  <c r="J18" i="53"/>
  <c r="F24" i="53"/>
  <c r="J25" i="53"/>
  <c r="X33" i="53"/>
  <c r="X34" i="98"/>
  <c r="R20" i="99"/>
  <c r="R21" i="99"/>
  <c r="R22" i="99"/>
  <c r="X24" i="99"/>
  <c r="N29" i="35"/>
  <c r="F18" i="37"/>
  <c r="X21" i="37"/>
  <c r="R24" i="37"/>
  <c r="X15" i="38"/>
  <c r="R16" i="38"/>
  <c r="T18" i="38"/>
  <c r="T27" i="38" s="1"/>
  <c r="L25" i="38"/>
  <c r="L29" i="38"/>
  <c r="J34" i="38"/>
  <c r="V36" i="38"/>
  <c r="L12" i="40"/>
  <c r="V15" i="40"/>
  <c r="L25" i="40"/>
  <c r="F27" i="40"/>
  <c r="F15" i="41"/>
  <c r="J18" i="41"/>
  <c r="X20" i="41"/>
  <c r="R21" i="41"/>
  <c r="X29" i="41"/>
  <c r="N12" i="43"/>
  <c r="X21" i="43"/>
  <c r="L22" i="43"/>
  <c r="F15" i="44"/>
  <c r="L16" i="44"/>
  <c r="X21" i="44"/>
  <c r="F36" i="44"/>
  <c r="J15" i="46"/>
  <c r="L21" i="46"/>
  <c r="F22" i="46"/>
  <c r="L24" i="46"/>
  <c r="V29" i="47"/>
  <c r="V33" i="47"/>
  <c r="F36" i="47"/>
  <c r="F16" i="49"/>
  <c r="F34" i="49"/>
  <c r="X15" i="50"/>
  <c r="R16" i="50"/>
  <c r="R20" i="50"/>
  <c r="X20" i="98"/>
  <c r="P18" i="99"/>
  <c r="P27" i="99" s="1"/>
  <c r="X29" i="99"/>
  <c r="X12" i="37"/>
  <c r="L15" i="37"/>
  <c r="P18" i="37"/>
  <c r="P27" i="37" s="1"/>
  <c r="P31" i="37" s="1"/>
  <c r="R21" i="37"/>
  <c r="V22" i="37"/>
  <c r="R15" i="38"/>
  <c r="F25" i="38"/>
  <c r="F29" i="38"/>
  <c r="N34" i="38"/>
  <c r="N12" i="40"/>
  <c r="H18" i="40"/>
  <c r="H27" i="40" s="1"/>
  <c r="V21" i="40"/>
  <c r="V27" i="40"/>
  <c r="R18" i="41"/>
  <c r="R20" i="41"/>
  <c r="R22" i="41"/>
  <c r="X34" i="41"/>
  <c r="F18" i="43"/>
  <c r="X24" i="43"/>
  <c r="X16" i="44"/>
  <c r="X20" i="44"/>
  <c r="L20" i="46"/>
  <c r="F21" i="46"/>
  <c r="F24" i="46"/>
  <c r="F25" i="46"/>
  <c r="F27" i="46"/>
  <c r="X34" i="46"/>
  <c r="T18" i="47"/>
  <c r="Z18" i="47" s="1"/>
  <c r="V36" i="47"/>
  <c r="R15" i="50"/>
  <c r="N12" i="52"/>
  <c r="L21" i="52"/>
  <c r="L22" i="52"/>
  <c r="N13" i="53"/>
  <c r="X15" i="53"/>
  <c r="F20" i="53"/>
  <c r="F21" i="53"/>
  <c r="J24" i="53"/>
  <c r="X25" i="53"/>
  <c r="X15" i="98"/>
  <c r="X13" i="99"/>
  <c r="R18" i="99"/>
  <c r="R29" i="99"/>
  <c r="Z59" i="3"/>
  <c r="Z63" i="3"/>
  <c r="Z67" i="3"/>
  <c r="N155" i="3"/>
  <c r="V259" i="3"/>
  <c r="V249" i="3"/>
  <c r="V245" i="3"/>
  <c r="V233" i="3"/>
  <c r="V229" i="3"/>
  <c r="V225" i="3"/>
  <c r="V209" i="3"/>
  <c r="V197" i="3"/>
  <c r="V189" i="3"/>
  <c r="V254" i="3"/>
  <c r="V232" i="3"/>
  <c r="V228" i="3"/>
  <c r="V224" i="3"/>
  <c r="V220" i="3"/>
  <c r="V216" i="3"/>
  <c r="V208" i="3"/>
  <c r="V257" i="3"/>
  <c r="V239" i="3"/>
  <c r="V269" i="3"/>
  <c r="V260" i="3"/>
  <c r="V252" i="3"/>
  <c r="V242" i="3"/>
  <c r="V238" i="3"/>
  <c r="V230" i="3"/>
  <c r="V222" i="3"/>
  <c r="V218" i="3"/>
  <c r="V214" i="3"/>
  <c r="V210" i="3"/>
  <c r="V202" i="3"/>
  <c r="V190" i="3"/>
  <c r="V258" i="3"/>
  <c r="V248" i="3"/>
  <c r="V244" i="3"/>
  <c r="V240" i="3"/>
  <c r="V236" i="3"/>
  <c r="V212" i="3"/>
  <c r="V204" i="3"/>
  <c r="V196" i="3"/>
  <c r="V192" i="3"/>
  <c r="V253" i="3"/>
  <c r="V247" i="3"/>
  <c r="V243" i="3"/>
  <c r="V235" i="3"/>
  <c r="V207" i="3"/>
  <c r="V203" i="3"/>
  <c r="V195" i="3"/>
  <c r="V187" i="3"/>
  <c r="V183" i="3"/>
  <c r="V268" i="3"/>
  <c r="V264" i="3"/>
  <c r="V256" i="3"/>
  <c r="V250" i="3"/>
  <c r="V246" i="3"/>
  <c r="V234" i="3"/>
  <c r="V226" i="3"/>
  <c r="V206" i="3"/>
  <c r="V198" i="3"/>
  <c r="V219" i="3"/>
  <c r="V211" i="3"/>
  <c r="V188" i="3"/>
  <c r="V185" i="3"/>
  <c r="V180" i="3"/>
  <c r="V168" i="3"/>
  <c r="V164" i="3"/>
  <c r="V156" i="3"/>
  <c r="V148" i="3"/>
  <c r="V140" i="3"/>
  <c r="V132" i="3"/>
  <c r="V124" i="3"/>
  <c r="V116" i="3"/>
  <c r="V108" i="3"/>
  <c r="V100" i="3"/>
  <c r="Z12" i="3"/>
  <c r="V112" i="3"/>
  <c r="V221" i="3"/>
  <c r="V215" i="3"/>
  <c r="V186" i="3"/>
  <c r="V167" i="3"/>
  <c r="V163" i="3"/>
  <c r="V147" i="3"/>
  <c r="V139" i="3"/>
  <c r="V131" i="3"/>
  <c r="V123" i="3"/>
  <c r="V115" i="3"/>
  <c r="V107" i="3"/>
  <c r="V217" i="3"/>
  <c r="V205" i="3"/>
  <c r="V201" i="3"/>
  <c r="V199" i="3"/>
  <c r="V194" i="3"/>
  <c r="V182" i="3"/>
  <c r="V174" i="3"/>
  <c r="V162" i="3"/>
  <c r="T153" i="3"/>
  <c r="V153" i="3" s="1"/>
  <c r="V146" i="3"/>
  <c r="V138" i="3"/>
  <c r="V130" i="3"/>
  <c r="V122" i="3"/>
  <c r="V114" i="3"/>
  <c r="V106" i="3"/>
  <c r="V255" i="3"/>
  <c r="V120" i="3"/>
  <c r="V241" i="3"/>
  <c r="V231" i="3"/>
  <c r="V191" i="3"/>
  <c r="V184" i="3"/>
  <c r="V173" i="3"/>
  <c r="V161" i="3"/>
  <c r="V145" i="3"/>
  <c r="V137" i="3"/>
  <c r="V129" i="3"/>
  <c r="V121" i="3"/>
  <c r="V113" i="3"/>
  <c r="V105" i="3"/>
  <c r="V172" i="3"/>
  <c r="V160" i="3"/>
  <c r="V136" i="3"/>
  <c r="V128" i="3"/>
  <c r="V213" i="3"/>
  <c r="V200" i="3"/>
  <c r="V193" i="3"/>
  <c r="V179" i="3"/>
  <c r="V175" i="3"/>
  <c r="V171" i="3"/>
  <c r="V159" i="3"/>
  <c r="V155" i="3"/>
  <c r="V151" i="3"/>
  <c r="V143" i="3"/>
  <c r="V135" i="3"/>
  <c r="V127" i="3"/>
  <c r="V119" i="3"/>
  <c r="V111" i="3"/>
  <c r="V103" i="3"/>
  <c r="V176" i="3"/>
  <c r="V178" i="3"/>
  <c r="V170" i="3"/>
  <c r="V166" i="3"/>
  <c r="V158" i="3"/>
  <c r="V150" i="3"/>
  <c r="V142" i="3"/>
  <c r="V134" i="3"/>
  <c r="V126" i="3"/>
  <c r="V118" i="3"/>
  <c r="V110" i="3"/>
  <c r="V102" i="3"/>
  <c r="V104" i="3"/>
  <c r="V237" i="3"/>
  <c r="V227" i="3"/>
  <c r="V223" i="3"/>
  <c r="V181" i="3"/>
  <c r="V177" i="3"/>
  <c r="V169" i="3"/>
  <c r="V165" i="3"/>
  <c r="V157" i="3"/>
  <c r="V149" i="3"/>
  <c r="V141" i="3"/>
  <c r="V133" i="3"/>
  <c r="V125" i="3"/>
  <c r="V117" i="3"/>
  <c r="V109" i="3"/>
  <c r="V101" i="3"/>
  <c r="V144" i="3"/>
  <c r="Z50" i="3"/>
  <c r="Z75" i="3"/>
  <c r="N87" i="3"/>
  <c r="Z177" i="3"/>
  <c r="R264" i="3"/>
  <c r="R253" i="3"/>
  <c r="R250" i="3"/>
  <c r="R246" i="3"/>
  <c r="R243" i="3"/>
  <c r="R234" i="3"/>
  <c r="R226" i="3"/>
  <c r="R203" i="3"/>
  <c r="R198" i="3"/>
  <c r="R268" i="3"/>
  <c r="R256" i="3"/>
  <c r="R233" i="3"/>
  <c r="R229" i="3"/>
  <c r="R225" i="3"/>
  <c r="R209" i="3"/>
  <c r="R206" i="3"/>
  <c r="R259" i="3"/>
  <c r="R249" i="3"/>
  <c r="R245" i="3"/>
  <c r="R254" i="3"/>
  <c r="R239" i="3"/>
  <c r="R231" i="3"/>
  <c r="R223" i="3"/>
  <c r="R219" i="3"/>
  <c r="R215" i="3"/>
  <c r="R211" i="3"/>
  <c r="R208" i="3"/>
  <c r="R191" i="3"/>
  <c r="R188" i="3"/>
  <c r="R269" i="3"/>
  <c r="R260" i="3"/>
  <c r="R241" i="3"/>
  <c r="R237" i="3"/>
  <c r="R230" i="3"/>
  <c r="R213" i="3"/>
  <c r="R210" i="3"/>
  <c r="R205" i="3"/>
  <c r="R193" i="3"/>
  <c r="R190" i="3"/>
  <c r="R255" i="3"/>
  <c r="R248" i="3"/>
  <c r="R244" i="3"/>
  <c r="R236" i="3"/>
  <c r="R221" i="3"/>
  <c r="R217" i="3"/>
  <c r="R204" i="3"/>
  <c r="R201" i="3"/>
  <c r="R196" i="3"/>
  <c r="R184" i="3"/>
  <c r="R258" i="3"/>
  <c r="R247" i="3"/>
  <c r="R240" i="3"/>
  <c r="R235" i="3"/>
  <c r="R212" i="3"/>
  <c r="R207" i="3"/>
  <c r="R195" i="3"/>
  <c r="R181" i="3"/>
  <c r="R169" i="3"/>
  <c r="R165" i="3"/>
  <c r="R157" i="3"/>
  <c r="R149" i="3"/>
  <c r="R141" i="3"/>
  <c r="R133" i="3"/>
  <c r="R125" i="3"/>
  <c r="R117" i="3"/>
  <c r="R109" i="3"/>
  <c r="R101" i="3"/>
  <c r="R257" i="3"/>
  <c r="R238" i="3"/>
  <c r="R227" i="3"/>
  <c r="R197" i="3"/>
  <c r="R177" i="3"/>
  <c r="R168" i="3"/>
  <c r="R164" i="3"/>
  <c r="R148" i="3"/>
  <c r="R140" i="3"/>
  <c r="R132" i="3"/>
  <c r="R124" i="3"/>
  <c r="R116" i="3"/>
  <c r="R108" i="3"/>
  <c r="X12" i="3"/>
  <c r="R161" i="3"/>
  <c r="P153" i="3"/>
  <c r="R105" i="3"/>
  <c r="R189" i="3"/>
  <c r="R187" i="3"/>
  <c r="R186" i="3"/>
  <c r="R185" i="3"/>
  <c r="R180" i="3"/>
  <c r="R163" i="3"/>
  <c r="R156" i="3"/>
  <c r="R147" i="3"/>
  <c r="R139" i="3"/>
  <c r="R131" i="3"/>
  <c r="R123" i="3"/>
  <c r="R115" i="3"/>
  <c r="R107" i="3"/>
  <c r="R100" i="3"/>
  <c r="R222" i="3"/>
  <c r="R194" i="3"/>
  <c r="R137" i="3"/>
  <c r="R228" i="3"/>
  <c r="R224" i="3"/>
  <c r="R192" i="3"/>
  <c r="R183" i="3"/>
  <c r="R174" i="3"/>
  <c r="R167" i="3"/>
  <c r="R162" i="3"/>
  <c r="R146" i="3"/>
  <c r="R138" i="3"/>
  <c r="R130" i="3"/>
  <c r="R122" i="3"/>
  <c r="R114" i="3"/>
  <c r="R106" i="3"/>
  <c r="R220" i="3"/>
  <c r="R182" i="3"/>
  <c r="R113" i="3"/>
  <c r="R242" i="3"/>
  <c r="R218" i="3"/>
  <c r="R216" i="3"/>
  <c r="R202" i="3"/>
  <c r="R176" i="3"/>
  <c r="R172" i="3"/>
  <c r="R160" i="3"/>
  <c r="R144" i="3"/>
  <c r="R136" i="3"/>
  <c r="R128" i="3"/>
  <c r="R120" i="3"/>
  <c r="R112" i="3"/>
  <c r="R104" i="3"/>
  <c r="R200" i="3"/>
  <c r="R179" i="3"/>
  <c r="R171" i="3"/>
  <c r="R159" i="3"/>
  <c r="R151" i="3"/>
  <c r="R143" i="3"/>
  <c r="R135" i="3"/>
  <c r="R127" i="3"/>
  <c r="R119" i="3"/>
  <c r="R111" i="3"/>
  <c r="R103" i="3"/>
  <c r="R145" i="3"/>
  <c r="R129" i="3"/>
  <c r="R232" i="3"/>
  <c r="R214" i="3"/>
  <c r="R178" i="3"/>
  <c r="R175" i="3"/>
  <c r="R170" i="3"/>
  <c r="R166" i="3"/>
  <c r="R158" i="3"/>
  <c r="R155" i="3"/>
  <c r="R150" i="3"/>
  <c r="R142" i="3"/>
  <c r="R134" i="3"/>
  <c r="R126" i="3"/>
  <c r="R118" i="3"/>
  <c r="R110" i="3"/>
  <c r="R102" i="3"/>
  <c r="R199" i="3"/>
  <c r="R173" i="3"/>
  <c r="R121" i="3"/>
  <c r="N39" i="3"/>
  <c r="N43" i="3"/>
  <c r="N47" i="3"/>
  <c r="N51" i="3"/>
  <c r="Z87" i="3"/>
  <c r="N167" i="3"/>
  <c r="Z74" i="3"/>
  <c r="Z182" i="3"/>
  <c r="Z39" i="3"/>
  <c r="Z43" i="3"/>
  <c r="Z47" i="3"/>
  <c r="Z51" i="3"/>
  <c r="N63" i="3"/>
  <c r="N71" i="3"/>
  <c r="N175" i="3"/>
  <c r="Z20" i="4"/>
  <c r="X20" i="4"/>
  <c r="N16" i="6"/>
  <c r="H22" i="6"/>
  <c r="N34" i="7"/>
  <c r="L34" i="7"/>
  <c r="Z50" i="9"/>
  <c r="V22" i="10"/>
  <c r="V20" i="10"/>
  <c r="V16" i="10"/>
  <c r="Z12" i="10"/>
  <c r="V34" i="10"/>
  <c r="V31" i="10"/>
  <c r="V27" i="10"/>
  <c r="V21" i="10"/>
  <c r="V18" i="10"/>
  <c r="V36" i="10"/>
  <c r="V33" i="10"/>
  <c r="V29" i="10"/>
  <c r="V25" i="10"/>
  <c r="T18" i="10"/>
  <c r="V15" i="10"/>
  <c r="D12" i="12"/>
  <c r="N14" i="12"/>
  <c r="N39" i="12"/>
  <c r="N65" i="12"/>
  <c r="Z67" i="12"/>
  <c r="Z14" i="3"/>
  <c r="X71" i="3"/>
  <c r="Z71" i="3" s="1"/>
  <c r="L75" i="3"/>
  <c r="X177" i="3"/>
  <c r="L192" i="3"/>
  <c r="N192" i="3" s="1"/>
  <c r="L199" i="3"/>
  <c r="N199" i="3" s="1"/>
  <c r="Z256" i="3"/>
  <c r="X260" i="3"/>
  <c r="Z260" i="3" s="1"/>
  <c r="X269" i="3"/>
  <c r="Z269" i="3" s="1"/>
  <c r="Z16" i="4"/>
  <c r="X16" i="4"/>
  <c r="N24" i="4"/>
  <c r="L24" i="4"/>
  <c r="Z34" i="10"/>
  <c r="X34" i="10"/>
  <c r="R36" i="11"/>
  <c r="R33" i="11"/>
  <c r="R29" i="11"/>
  <c r="R25" i="11"/>
  <c r="P18" i="11"/>
  <c r="R15" i="11"/>
  <c r="R22" i="11"/>
  <c r="X12" i="11"/>
  <c r="R20" i="11"/>
  <c r="R16" i="11"/>
  <c r="R24" i="11"/>
  <c r="R21" i="11"/>
  <c r="R18" i="11"/>
  <c r="Z19" i="12"/>
  <c r="X75" i="12"/>
  <c r="Z75" i="12" s="1"/>
  <c r="Z43" i="15"/>
  <c r="X43" i="15"/>
  <c r="D12" i="3"/>
  <c r="H12" i="3"/>
  <c r="X15" i="3"/>
  <c r="Z15" i="3" s="1"/>
  <c r="X55" i="3"/>
  <c r="Z55" i="3" s="1"/>
  <c r="L59" i="3"/>
  <c r="N59" i="3" s="1"/>
  <c r="X63" i="3"/>
  <c r="L67" i="3"/>
  <c r="N67" i="3" s="1"/>
  <c r="X79" i="3"/>
  <c r="Z79" i="3" s="1"/>
  <c r="L83" i="3"/>
  <c r="N83" i="3" s="1"/>
  <c r="X182" i="3"/>
  <c r="Z210" i="3"/>
  <c r="V22" i="5"/>
  <c r="V20" i="5"/>
  <c r="V16" i="5"/>
  <c r="Z12" i="5"/>
  <c r="V34" i="5"/>
  <c r="V31" i="5"/>
  <c r="V27" i="5"/>
  <c r="V21" i="5"/>
  <c r="V18" i="5"/>
  <c r="V36" i="5"/>
  <c r="V33" i="5"/>
  <c r="V29" i="5"/>
  <c r="V25" i="5"/>
  <c r="T18" i="5"/>
  <c r="V15" i="5"/>
  <c r="Z34" i="5"/>
  <c r="X34" i="5"/>
  <c r="V31" i="6"/>
  <c r="V28" i="6"/>
  <c r="V24" i="6"/>
  <c r="V22" i="6"/>
  <c r="V18" i="6"/>
  <c r="V14" i="6"/>
  <c r="Z12" i="6"/>
  <c r="T16" i="6"/>
  <c r="V20" i="6"/>
  <c r="N18" i="9"/>
  <c r="N38" i="9"/>
  <c r="Z18" i="12"/>
  <c r="Z27" i="12"/>
  <c r="X35" i="12"/>
  <c r="N38" i="12"/>
  <c r="X43" i="12"/>
  <c r="N46" i="12"/>
  <c r="N55" i="12"/>
  <c r="N31" i="15"/>
  <c r="L31" i="15"/>
  <c r="P16" i="9"/>
  <c r="X14" i="9"/>
  <c r="N21" i="10"/>
  <c r="L21" i="10"/>
  <c r="Z35" i="12"/>
  <c r="Z43" i="12"/>
  <c r="Z24" i="14"/>
  <c r="X24" i="14"/>
  <c r="N212" i="3"/>
  <c r="L258" i="3"/>
  <c r="N258" i="3" s="1"/>
  <c r="H252" i="3"/>
  <c r="L30" i="3"/>
  <c r="N30" i="3" s="1"/>
  <c r="X34" i="3"/>
  <c r="Z34" i="3" s="1"/>
  <c r="L38" i="3"/>
  <c r="N38" i="3" s="1"/>
  <c r="X42" i="3"/>
  <c r="Z42" i="3" s="1"/>
  <c r="L46" i="3"/>
  <c r="N46" i="3" s="1"/>
  <c r="X50" i="3"/>
  <c r="L54" i="3"/>
  <c r="X58" i="3"/>
  <c r="Z58" i="3" s="1"/>
  <c r="L62" i="3"/>
  <c r="N62" i="3" s="1"/>
  <c r="X66" i="3"/>
  <c r="Z66" i="3" s="1"/>
  <c r="L70" i="3"/>
  <c r="N70" i="3" s="1"/>
  <c r="X74" i="3"/>
  <c r="L78" i="3"/>
  <c r="N78" i="3" s="1"/>
  <c r="X82" i="3"/>
  <c r="Z82" i="3" s="1"/>
  <c r="L86" i="3"/>
  <c r="N86" i="3" s="1"/>
  <c r="X90" i="3"/>
  <c r="L94" i="3"/>
  <c r="N94" i="3" s="1"/>
  <c r="X98" i="3"/>
  <c r="L212" i="3"/>
  <c r="N227" i="3"/>
  <c r="L230" i="3"/>
  <c r="N230" i="3" s="1"/>
  <c r="D27" i="7"/>
  <c r="Z18" i="9"/>
  <c r="Z19" i="9"/>
  <c r="N70" i="9"/>
  <c r="L70" i="9"/>
  <c r="V24" i="10"/>
  <c r="Z24" i="11"/>
  <c r="X24" i="11"/>
  <c r="R27" i="11"/>
  <c r="Z34" i="12"/>
  <c r="Z42" i="12"/>
  <c r="Z72" i="12"/>
  <c r="X47" i="18"/>
  <c r="Z47" i="18" s="1"/>
  <c r="L64" i="18"/>
  <c r="N64" i="18" s="1"/>
  <c r="X72" i="18"/>
  <c r="Z72" i="18" s="1"/>
  <c r="L22" i="3"/>
  <c r="N22" i="3" s="1"/>
  <c r="Z18" i="3"/>
  <c r="Z245" i="3"/>
  <c r="L42" i="9"/>
  <c r="N42" i="9" s="1"/>
  <c r="Z59" i="9"/>
  <c r="Z68" i="9"/>
  <c r="X68" i="9"/>
  <c r="Z13" i="12"/>
  <c r="Z51" i="12"/>
  <c r="Z59" i="12"/>
  <c r="L14" i="3"/>
  <c r="N14" i="3" s="1"/>
  <c r="X26" i="3"/>
  <c r="Z26" i="3" s="1"/>
  <c r="Z185" i="3"/>
  <c r="N208" i="3"/>
  <c r="Z212" i="3"/>
  <c r="N240" i="3"/>
  <c r="L240" i="3"/>
  <c r="L252" i="3"/>
  <c r="N256" i="3"/>
  <c r="N21" i="5"/>
  <c r="L21" i="5"/>
  <c r="V26" i="6"/>
  <c r="N16" i="9"/>
  <c r="H89" i="9"/>
  <c r="X40" i="9"/>
  <c r="Z40" i="9" s="1"/>
  <c r="L50" i="9"/>
  <c r="N50" i="9" s="1"/>
  <c r="R34" i="11"/>
  <c r="P12" i="12"/>
  <c r="N15" i="12"/>
  <c r="H12" i="12"/>
  <c r="N23" i="12"/>
  <c r="L31" i="12"/>
  <c r="Z50" i="12"/>
  <c r="X197" i="3"/>
  <c r="Z197" i="3" s="1"/>
  <c r="X208" i="3"/>
  <c r="Z208" i="3" s="1"/>
  <c r="L210" i="3"/>
  <c r="N210" i="3" s="1"/>
  <c r="Z230" i="3"/>
  <c r="Z16" i="8"/>
  <c r="X16" i="8"/>
  <c r="Z20" i="8"/>
  <c r="X20" i="8"/>
  <c r="N24" i="8"/>
  <c r="L24" i="8"/>
  <c r="Z42" i="9"/>
  <c r="Z48" i="9"/>
  <c r="X48" i="9"/>
  <c r="N78" i="9"/>
  <c r="L78" i="9"/>
  <c r="N31" i="12"/>
  <c r="X71" i="12"/>
  <c r="Z71" i="12" s="1"/>
  <c r="X222" i="12"/>
  <c r="Z222" i="12" s="1"/>
  <c r="P221" i="12"/>
  <c r="X221" i="12" s="1"/>
  <c r="Z221" i="12" s="1"/>
  <c r="L227" i="3"/>
  <c r="X245" i="3"/>
  <c r="X249" i="3"/>
  <c r="Z249" i="3" s="1"/>
  <c r="L257" i="3"/>
  <c r="N257" i="3" s="1"/>
  <c r="X259" i="3"/>
  <c r="Z259" i="3" s="1"/>
  <c r="N12" i="4"/>
  <c r="X15" i="4"/>
  <c r="F18" i="4"/>
  <c r="V18" i="4"/>
  <c r="J22" i="4"/>
  <c r="R24" i="4"/>
  <c r="X25" i="4"/>
  <c r="X29" i="4"/>
  <c r="X33" i="4"/>
  <c r="L12" i="5"/>
  <c r="F15" i="5"/>
  <c r="L16" i="5"/>
  <c r="D18" i="5"/>
  <c r="L20" i="5"/>
  <c r="R21" i="5"/>
  <c r="X22" i="5"/>
  <c r="F25" i="5"/>
  <c r="F29" i="5"/>
  <c r="F33" i="5"/>
  <c r="F36" i="5"/>
  <c r="L12" i="6"/>
  <c r="X14" i="6"/>
  <c r="P16" i="6"/>
  <c r="X18" i="6"/>
  <c r="X28" i="6"/>
  <c r="Z28" i="6" s="1"/>
  <c r="J15" i="7"/>
  <c r="Z15" i="7"/>
  <c r="H18" i="7"/>
  <c r="L22" i="7"/>
  <c r="J25" i="7"/>
  <c r="R27" i="7"/>
  <c r="J29" i="7"/>
  <c r="R31" i="7"/>
  <c r="J33" i="7"/>
  <c r="R34" i="7"/>
  <c r="J36" i="7"/>
  <c r="N12" i="8"/>
  <c r="X15" i="8"/>
  <c r="F18" i="8"/>
  <c r="V18" i="8"/>
  <c r="J22" i="8"/>
  <c r="X25" i="8"/>
  <c r="X29" i="8"/>
  <c r="X33" i="8"/>
  <c r="J18" i="9"/>
  <c r="J20" i="9"/>
  <c r="F21" i="9"/>
  <c r="V24" i="9"/>
  <c r="J28" i="9"/>
  <c r="F29" i="9"/>
  <c r="J32" i="9"/>
  <c r="F33" i="9"/>
  <c r="V36" i="9"/>
  <c r="J38" i="9"/>
  <c r="F41" i="9"/>
  <c r="R42" i="9"/>
  <c r="F44" i="9"/>
  <c r="V44" i="9"/>
  <c r="R45" i="9"/>
  <c r="J46" i="9"/>
  <c r="F49" i="9"/>
  <c r="R50" i="9"/>
  <c r="F52" i="9"/>
  <c r="V52" i="9"/>
  <c r="R53" i="9"/>
  <c r="V56" i="9"/>
  <c r="J60" i="9"/>
  <c r="F61" i="9"/>
  <c r="J64" i="9"/>
  <c r="F65" i="9"/>
  <c r="F69" i="9"/>
  <c r="R70" i="9"/>
  <c r="F72" i="9"/>
  <c r="V72" i="9"/>
  <c r="R73" i="9"/>
  <c r="J76" i="9"/>
  <c r="F77" i="9"/>
  <c r="R78" i="9"/>
  <c r="J80" i="9"/>
  <c r="V84" i="9"/>
  <c r="R85" i="9"/>
  <c r="R91" i="9"/>
  <c r="D18" i="10"/>
  <c r="R21" i="10"/>
  <c r="F25" i="10"/>
  <c r="F29" i="10"/>
  <c r="F33" i="10"/>
  <c r="F36" i="10"/>
  <c r="J16" i="11"/>
  <c r="J20" i="11"/>
  <c r="N68" i="12"/>
  <c r="P12" i="15"/>
  <c r="N36" i="15"/>
  <c r="Z37" i="15"/>
  <c r="Z44" i="15"/>
  <c r="N47" i="15"/>
  <c r="L47" i="15"/>
  <c r="Z48" i="15"/>
  <c r="Z59" i="15"/>
  <c r="X59" i="15"/>
  <c r="N124" i="15"/>
  <c r="N148" i="15"/>
  <c r="N206" i="15"/>
  <c r="X214" i="15"/>
  <c r="P213" i="15"/>
  <c r="Z216" i="15"/>
  <c r="R31" i="17"/>
  <c r="N17" i="18"/>
  <c r="N27" i="18"/>
  <c r="N33" i="18"/>
  <c r="X52" i="18"/>
  <c r="Z52" i="18" s="1"/>
  <c r="N65" i="18"/>
  <c r="L65" i="18"/>
  <c r="X69" i="18"/>
  <c r="Z69" i="18" s="1"/>
  <c r="T12" i="25"/>
  <c r="P252" i="3"/>
  <c r="X252" i="3" s="1"/>
  <c r="Z252" i="3" s="1"/>
  <c r="J15" i="4"/>
  <c r="H18" i="4"/>
  <c r="F21" i="4"/>
  <c r="V21" i="4"/>
  <c r="J25" i="4"/>
  <c r="R27" i="4"/>
  <c r="J29" i="4"/>
  <c r="R31" i="4"/>
  <c r="J33" i="4"/>
  <c r="R34" i="4"/>
  <c r="J36" i="4"/>
  <c r="N12" i="5"/>
  <c r="X15" i="5"/>
  <c r="F18" i="5"/>
  <c r="J22" i="5"/>
  <c r="R24" i="5"/>
  <c r="N12" i="6"/>
  <c r="J14" i="6"/>
  <c r="R16" i="6"/>
  <c r="J18" i="6"/>
  <c r="R20" i="6"/>
  <c r="J22" i="6"/>
  <c r="R26" i="6"/>
  <c r="J28" i="6"/>
  <c r="R29" i="6"/>
  <c r="J31" i="6"/>
  <c r="L15" i="7"/>
  <c r="R16" i="7"/>
  <c r="J18" i="7"/>
  <c r="R20" i="7"/>
  <c r="F24" i="7"/>
  <c r="V24" i="7"/>
  <c r="J15" i="8"/>
  <c r="H18" i="8"/>
  <c r="F21" i="8"/>
  <c r="V21" i="8"/>
  <c r="J25" i="8"/>
  <c r="R27" i="8"/>
  <c r="J29" i="8"/>
  <c r="R31" i="8"/>
  <c r="J33" i="8"/>
  <c r="R34" i="8"/>
  <c r="J36" i="8"/>
  <c r="D16" i="9"/>
  <c r="T16" i="9"/>
  <c r="R19" i="9"/>
  <c r="J21" i="9"/>
  <c r="F22" i="9"/>
  <c r="V25" i="9"/>
  <c r="R26" i="9"/>
  <c r="J29" i="9"/>
  <c r="F30" i="9"/>
  <c r="R31" i="9"/>
  <c r="J33" i="9"/>
  <c r="F34" i="9"/>
  <c r="V37" i="9"/>
  <c r="J41" i="9"/>
  <c r="V45" i="9"/>
  <c r="J49" i="9"/>
  <c r="V53" i="9"/>
  <c r="R54" i="9"/>
  <c r="J55" i="9"/>
  <c r="F58" i="9"/>
  <c r="R59" i="9"/>
  <c r="J61" i="9"/>
  <c r="F62" i="9"/>
  <c r="R63" i="9"/>
  <c r="J65" i="9"/>
  <c r="F66" i="9"/>
  <c r="J69" i="9"/>
  <c r="V73" i="9"/>
  <c r="R74" i="9"/>
  <c r="J77" i="9"/>
  <c r="F81" i="9"/>
  <c r="V81" i="9"/>
  <c r="R82" i="9"/>
  <c r="J83" i="9"/>
  <c r="V85" i="9"/>
  <c r="F89" i="9"/>
  <c r="V89" i="9"/>
  <c r="V91" i="9"/>
  <c r="F96" i="9"/>
  <c r="V96" i="9"/>
  <c r="N12" i="10"/>
  <c r="F18" i="10"/>
  <c r="J22" i="10"/>
  <c r="R24" i="10"/>
  <c r="L12" i="11"/>
  <c r="F15" i="11"/>
  <c r="V15" i="11"/>
  <c r="D18" i="11"/>
  <c r="T18" i="11"/>
  <c r="F25" i="11"/>
  <c r="V25" i="11"/>
  <c r="F29" i="11"/>
  <c r="V29" i="11"/>
  <c r="F33" i="11"/>
  <c r="V33" i="11"/>
  <c r="F36" i="11"/>
  <c r="V36" i="11"/>
  <c r="X69" i="12"/>
  <c r="Z69" i="12" s="1"/>
  <c r="X73" i="12"/>
  <c r="Z79" i="12"/>
  <c r="X79" i="12"/>
  <c r="N82" i="12"/>
  <c r="L192" i="12"/>
  <c r="X198" i="12"/>
  <c r="Z224" i="12"/>
  <c r="Z225" i="12"/>
  <c r="Z34" i="13"/>
  <c r="X34" i="13"/>
  <c r="Z19" i="15"/>
  <c r="X19" i="15"/>
  <c r="L39" i="15"/>
  <c r="N39" i="15" s="1"/>
  <c r="Z40" i="15"/>
  <c r="N68" i="15"/>
  <c r="Z69" i="15"/>
  <c r="Z158" i="15"/>
  <c r="N160" i="15"/>
  <c r="Z214" i="15"/>
  <c r="N21" i="16"/>
  <c r="L21" i="16"/>
  <c r="N20" i="18"/>
  <c r="Z21" i="18"/>
  <c r="Z24" i="18"/>
  <c r="N36" i="18"/>
  <c r="Z37" i="18"/>
  <c r="Z40" i="18"/>
  <c r="N42" i="18"/>
  <c r="X56" i="18"/>
  <c r="Z56" i="18" s="1"/>
  <c r="N72" i="18"/>
  <c r="L88" i="18"/>
  <c r="N88" i="18" s="1"/>
  <c r="R16" i="4"/>
  <c r="J18" i="4"/>
  <c r="R20" i="4"/>
  <c r="F24" i="4"/>
  <c r="V24" i="4"/>
  <c r="J15" i="5"/>
  <c r="H18" i="5"/>
  <c r="F21" i="5"/>
  <c r="J25" i="5"/>
  <c r="R27" i="5"/>
  <c r="J29" i="5"/>
  <c r="R31" i="5"/>
  <c r="J33" i="5"/>
  <c r="R34" i="5"/>
  <c r="J36" i="5"/>
  <c r="D16" i="6"/>
  <c r="F24" i="6"/>
  <c r="X12" i="7"/>
  <c r="J21" i="7"/>
  <c r="F27" i="7"/>
  <c r="V27" i="7"/>
  <c r="F31" i="7"/>
  <c r="V31" i="7"/>
  <c r="F34" i="7"/>
  <c r="V34" i="7"/>
  <c r="J18" i="8"/>
  <c r="F24" i="8"/>
  <c r="V24" i="8"/>
  <c r="F16" i="9"/>
  <c r="V16" i="9"/>
  <c r="J22" i="9"/>
  <c r="F23" i="9"/>
  <c r="V26" i="9"/>
  <c r="J30" i="9"/>
  <c r="J34" i="9"/>
  <c r="F35" i="9"/>
  <c r="F39" i="9"/>
  <c r="R40" i="9"/>
  <c r="F42" i="9"/>
  <c r="V42" i="9"/>
  <c r="R43" i="9"/>
  <c r="J44" i="9"/>
  <c r="F47" i="9"/>
  <c r="R48" i="9"/>
  <c r="F50" i="9"/>
  <c r="V50" i="9"/>
  <c r="R51" i="9"/>
  <c r="J52" i="9"/>
  <c r="V54" i="9"/>
  <c r="J58" i="9"/>
  <c r="J62" i="9"/>
  <c r="J66" i="9"/>
  <c r="F67" i="9"/>
  <c r="R68" i="9"/>
  <c r="F70" i="9"/>
  <c r="V70" i="9"/>
  <c r="R71" i="9"/>
  <c r="J72" i="9"/>
  <c r="V74" i="9"/>
  <c r="R75" i="9"/>
  <c r="F78" i="9"/>
  <c r="V78" i="9"/>
  <c r="R79" i="9"/>
  <c r="V82" i="9"/>
  <c r="F21" i="10"/>
  <c r="J25" i="10"/>
  <c r="R27" i="10"/>
  <c r="J29" i="10"/>
  <c r="R31" i="10"/>
  <c r="J33" i="10"/>
  <c r="R34" i="10"/>
  <c r="J36" i="10"/>
  <c r="N12" i="11"/>
  <c r="J22" i="11"/>
  <c r="Z76" i="12"/>
  <c r="N192" i="12"/>
  <c r="Z198" i="12"/>
  <c r="V22" i="13"/>
  <c r="V20" i="13"/>
  <c r="V16" i="13"/>
  <c r="Z12" i="13"/>
  <c r="V34" i="13"/>
  <c r="V31" i="13"/>
  <c r="V27" i="13"/>
  <c r="X12" i="13"/>
  <c r="V21" i="13"/>
  <c r="V18" i="13"/>
  <c r="V36" i="13"/>
  <c r="V33" i="13"/>
  <c r="V29" i="13"/>
  <c r="V25" i="13"/>
  <c r="T18" i="13"/>
  <c r="V15" i="13"/>
  <c r="R36" i="14"/>
  <c r="R33" i="14"/>
  <c r="R29" i="14"/>
  <c r="R25" i="14"/>
  <c r="P18" i="14"/>
  <c r="R15" i="14"/>
  <c r="R22" i="14"/>
  <c r="X12" i="14"/>
  <c r="R20" i="14"/>
  <c r="R16" i="14"/>
  <c r="R24" i="14"/>
  <c r="R21" i="14"/>
  <c r="R18" i="14"/>
  <c r="D12" i="15"/>
  <c r="Z51" i="15"/>
  <c r="X51" i="15"/>
  <c r="N156" i="15"/>
  <c r="L156" i="15"/>
  <c r="X206" i="15"/>
  <c r="Z206" i="15" s="1"/>
  <c r="H12" i="18"/>
  <c r="D12" i="18"/>
  <c r="L16" i="18"/>
  <c r="N16" i="18" s="1"/>
  <c r="L23" i="18"/>
  <c r="N23" i="18" s="1"/>
  <c r="X27" i="18"/>
  <c r="Z27" i="18" s="1"/>
  <c r="L39" i="18"/>
  <c r="N39" i="18" s="1"/>
  <c r="N18" i="20"/>
  <c r="Z12" i="4"/>
  <c r="F16" i="4"/>
  <c r="V16" i="4"/>
  <c r="F20" i="4"/>
  <c r="V20" i="4"/>
  <c r="J24" i="4"/>
  <c r="X12" i="5"/>
  <c r="J21" i="5"/>
  <c r="F27" i="5"/>
  <c r="F31" i="5"/>
  <c r="F34" i="5"/>
  <c r="R15" i="7"/>
  <c r="P18" i="7"/>
  <c r="R25" i="7"/>
  <c r="J27" i="7"/>
  <c r="R29" i="7"/>
  <c r="J31" i="7"/>
  <c r="R33" i="7"/>
  <c r="J34" i="7"/>
  <c r="R36" i="7"/>
  <c r="Z12" i="8"/>
  <c r="F16" i="8"/>
  <c r="V16" i="8"/>
  <c r="F20" i="8"/>
  <c r="V20" i="8"/>
  <c r="J24" i="8"/>
  <c r="Z12" i="9"/>
  <c r="R14" i="9"/>
  <c r="J16" i="9"/>
  <c r="R18" i="9"/>
  <c r="V20" i="9"/>
  <c r="R21" i="9"/>
  <c r="J24" i="9"/>
  <c r="F25" i="9"/>
  <c r="V28" i="9"/>
  <c r="R29" i="9"/>
  <c r="V32" i="9"/>
  <c r="R33" i="9"/>
  <c r="J36" i="9"/>
  <c r="F37" i="9"/>
  <c r="R38" i="9"/>
  <c r="F40" i="9"/>
  <c r="V40" i="9"/>
  <c r="R41" i="9"/>
  <c r="J42" i="9"/>
  <c r="F45" i="9"/>
  <c r="R46" i="9"/>
  <c r="F48" i="9"/>
  <c r="V48" i="9"/>
  <c r="R49" i="9"/>
  <c r="J50" i="9"/>
  <c r="F53" i="9"/>
  <c r="J56" i="9"/>
  <c r="V60" i="9"/>
  <c r="R61" i="9"/>
  <c r="V64" i="9"/>
  <c r="R65" i="9"/>
  <c r="F68" i="9"/>
  <c r="V68" i="9"/>
  <c r="R69" i="9"/>
  <c r="J70" i="9"/>
  <c r="F73" i="9"/>
  <c r="V76" i="9"/>
  <c r="R77" i="9"/>
  <c r="J78" i="9"/>
  <c r="V80" i="9"/>
  <c r="J84" i="9"/>
  <c r="F85" i="9"/>
  <c r="F91" i="9"/>
  <c r="X12" i="10"/>
  <c r="J21" i="10"/>
  <c r="F27" i="10"/>
  <c r="F31" i="10"/>
  <c r="F34" i="10"/>
  <c r="J18" i="11"/>
  <c r="F24" i="11"/>
  <c r="V24" i="11"/>
  <c r="T12" i="12"/>
  <c r="Z82" i="12"/>
  <c r="N128" i="12"/>
  <c r="X158" i="12"/>
  <c r="Z192" i="12"/>
  <c r="X214" i="12"/>
  <c r="R27" i="14"/>
  <c r="R31" i="14"/>
  <c r="N20" i="15"/>
  <c r="Z21" i="15"/>
  <c r="Z28" i="15"/>
  <c r="N56" i="15"/>
  <c r="L63" i="15"/>
  <c r="N63" i="15" s="1"/>
  <c r="Z64" i="15"/>
  <c r="N71" i="15"/>
  <c r="L71" i="15"/>
  <c r="Z72" i="15"/>
  <c r="N162" i="15"/>
  <c r="Z174" i="15"/>
  <c r="X174" i="15"/>
  <c r="L176" i="15"/>
  <c r="N176" i="15" s="1"/>
  <c r="Z190" i="15"/>
  <c r="X190" i="15"/>
  <c r="Z24" i="17"/>
  <c r="X24" i="17"/>
  <c r="Z39" i="18"/>
  <c r="N41" i="18"/>
  <c r="R100" i="18"/>
  <c r="J16" i="7"/>
  <c r="J20" i="7"/>
  <c r="J27" i="8"/>
  <c r="J31" i="8"/>
  <c r="J34" i="8"/>
  <c r="J19" i="9"/>
  <c r="V21" i="9"/>
  <c r="J25" i="9"/>
  <c r="F26" i="9"/>
  <c r="V29" i="9"/>
  <c r="J31" i="9"/>
  <c r="V33" i="9"/>
  <c r="R34" i="9"/>
  <c r="J37" i="9"/>
  <c r="V41" i="9"/>
  <c r="J45" i="9"/>
  <c r="V49" i="9"/>
  <c r="J53" i="9"/>
  <c r="F54" i="9"/>
  <c r="R55" i="9"/>
  <c r="F57" i="9"/>
  <c r="V57" i="9"/>
  <c r="R58" i="9"/>
  <c r="J59" i="9"/>
  <c r="V61" i="9"/>
  <c r="R62" i="9"/>
  <c r="J63" i="9"/>
  <c r="V65" i="9"/>
  <c r="R66" i="9"/>
  <c r="V69" i="9"/>
  <c r="J73" i="9"/>
  <c r="F74" i="9"/>
  <c r="V77" i="9"/>
  <c r="F82" i="9"/>
  <c r="R83" i="9"/>
  <c r="J85" i="9"/>
  <c r="F87" i="9"/>
  <c r="V87" i="9"/>
  <c r="J91" i="9"/>
  <c r="F93" i="9"/>
  <c r="V93" i="9"/>
  <c r="F16" i="10"/>
  <c r="F20" i="10"/>
  <c r="R22" i="10"/>
  <c r="J24" i="10"/>
  <c r="J21" i="11"/>
  <c r="F27" i="11"/>
  <c r="V27" i="11"/>
  <c r="F31" i="11"/>
  <c r="V31" i="11"/>
  <c r="Z158" i="12"/>
  <c r="L172" i="12"/>
  <c r="N172" i="12" s="1"/>
  <c r="Z214" i="12"/>
  <c r="N21" i="13"/>
  <c r="L21" i="13"/>
  <c r="N23" i="15"/>
  <c r="L23" i="15"/>
  <c r="X35" i="15"/>
  <c r="Z35" i="15" s="1"/>
  <c r="Z150" i="15"/>
  <c r="X150" i="15"/>
  <c r="Z210" i="15"/>
  <c r="X210" i="15"/>
  <c r="N216" i="15"/>
  <c r="J16" i="4"/>
  <c r="F22" i="4"/>
  <c r="R25" i="5"/>
  <c r="J27" i="5"/>
  <c r="R29" i="5"/>
  <c r="J31" i="5"/>
  <c r="R33" i="5"/>
  <c r="J34" i="5"/>
  <c r="L12" i="7"/>
  <c r="R21" i="7"/>
  <c r="F33" i="7"/>
  <c r="V33" i="7"/>
  <c r="J16" i="8"/>
  <c r="F22" i="8"/>
  <c r="V22" i="8"/>
  <c r="F14" i="9"/>
  <c r="F18" i="9"/>
  <c r="V22" i="9"/>
  <c r="J26" i="9"/>
  <c r="F27" i="9"/>
  <c r="V30" i="9"/>
  <c r="V34" i="9"/>
  <c r="F38" i="9"/>
  <c r="V38" i="9"/>
  <c r="R39" i="9"/>
  <c r="J40" i="9"/>
  <c r="F43" i="9"/>
  <c r="R44" i="9"/>
  <c r="F46" i="9"/>
  <c r="V46" i="9"/>
  <c r="R47" i="9"/>
  <c r="J48" i="9"/>
  <c r="F51" i="9"/>
  <c r="R52" i="9"/>
  <c r="J54" i="9"/>
  <c r="V58" i="9"/>
  <c r="V62" i="9"/>
  <c r="V66" i="9"/>
  <c r="R67" i="9"/>
  <c r="J68" i="9"/>
  <c r="F71" i="9"/>
  <c r="R72" i="9"/>
  <c r="J74" i="9"/>
  <c r="F75" i="9"/>
  <c r="F79" i="9"/>
  <c r="J82" i="9"/>
  <c r="R15" i="10"/>
  <c r="P18" i="10"/>
  <c r="R25" i="10"/>
  <c r="J27" i="10"/>
  <c r="R29" i="10"/>
  <c r="J31" i="10"/>
  <c r="R33" i="10"/>
  <c r="J34" i="10"/>
  <c r="R36" i="10"/>
  <c r="J24" i="11"/>
  <c r="X13" i="12"/>
  <c r="L17" i="12"/>
  <c r="N17" i="12" s="1"/>
  <c r="X21" i="12"/>
  <c r="Z21" i="12" s="1"/>
  <c r="L25" i="12"/>
  <c r="X29" i="12"/>
  <c r="Z29" i="12" s="1"/>
  <c r="L33" i="12"/>
  <c r="X37" i="12"/>
  <c r="Z37" i="12" s="1"/>
  <c r="L41" i="12"/>
  <c r="N41" i="12" s="1"/>
  <c r="X45" i="12"/>
  <c r="Z45" i="12" s="1"/>
  <c r="L49" i="12"/>
  <c r="X53" i="12"/>
  <c r="Z53" i="12" s="1"/>
  <c r="L57" i="12"/>
  <c r="N57" i="12" s="1"/>
  <c r="X61" i="12"/>
  <c r="Z61" i="12" s="1"/>
  <c r="L65" i="12"/>
  <c r="L69" i="12"/>
  <c r="N69" i="12" s="1"/>
  <c r="L73" i="12"/>
  <c r="Z128" i="12"/>
  <c r="L148" i="12"/>
  <c r="N148" i="12" s="1"/>
  <c r="X170" i="12"/>
  <c r="Z170" i="12" s="1"/>
  <c r="N188" i="12"/>
  <c r="N44" i="15"/>
  <c r="Z45" i="15"/>
  <c r="L55" i="15"/>
  <c r="N55" i="15" s="1"/>
  <c r="Z56" i="15"/>
  <c r="Z67" i="15"/>
  <c r="X67" i="15"/>
  <c r="Z75" i="15"/>
  <c r="X75" i="15"/>
  <c r="X162" i="15"/>
  <c r="Z162" i="15" s="1"/>
  <c r="V22" i="16"/>
  <c r="V20" i="16"/>
  <c r="V16" i="16"/>
  <c r="Z12" i="16"/>
  <c r="V34" i="16"/>
  <c r="V31" i="16"/>
  <c r="V27" i="16"/>
  <c r="X12" i="16"/>
  <c r="V21" i="16"/>
  <c r="V18" i="16"/>
  <c r="V36" i="16"/>
  <c r="V33" i="16"/>
  <c r="V29" i="16"/>
  <c r="V25" i="16"/>
  <c r="T18" i="16"/>
  <c r="V15" i="16"/>
  <c r="Z34" i="16"/>
  <c r="X34" i="16"/>
  <c r="R27" i="17"/>
  <c r="L15" i="18"/>
  <c r="N15" i="18" s="1"/>
  <c r="X19" i="18"/>
  <c r="Z19" i="18" s="1"/>
  <c r="L31" i="18"/>
  <c r="N31" i="18" s="1"/>
  <c r="X35" i="18"/>
  <c r="Z35" i="18" s="1"/>
  <c r="L80" i="18"/>
  <c r="N80" i="18" s="1"/>
  <c r="N21" i="19"/>
  <c r="L21" i="19"/>
  <c r="L12" i="4"/>
  <c r="F15" i="4"/>
  <c r="V15" i="4"/>
  <c r="D18" i="4"/>
  <c r="T18" i="4"/>
  <c r="F25" i="4"/>
  <c r="V25" i="4"/>
  <c r="F29" i="4"/>
  <c r="V29" i="4"/>
  <c r="F33" i="4"/>
  <c r="V33" i="4"/>
  <c r="J16" i="5"/>
  <c r="F14" i="6"/>
  <c r="F18" i="6"/>
  <c r="F22" i="6"/>
  <c r="F28" i="6"/>
  <c r="N12" i="7"/>
  <c r="L12" i="8"/>
  <c r="F15" i="8"/>
  <c r="D18" i="8"/>
  <c r="T18" i="8"/>
  <c r="F25" i="8"/>
  <c r="V25" i="8"/>
  <c r="F29" i="8"/>
  <c r="V29" i="8"/>
  <c r="F33" i="8"/>
  <c r="V33" i="8"/>
  <c r="L12" i="9"/>
  <c r="F20" i="9"/>
  <c r="V23" i="9"/>
  <c r="J27" i="9"/>
  <c r="F28" i="9"/>
  <c r="F32" i="9"/>
  <c r="V35" i="9"/>
  <c r="R36" i="9"/>
  <c r="V39" i="9"/>
  <c r="J43" i="9"/>
  <c r="V47" i="9"/>
  <c r="J51" i="9"/>
  <c r="F55" i="9"/>
  <c r="V55" i="9"/>
  <c r="R56" i="9"/>
  <c r="J57" i="9"/>
  <c r="F60" i="9"/>
  <c r="F64" i="9"/>
  <c r="V67" i="9"/>
  <c r="J71" i="9"/>
  <c r="J75" i="9"/>
  <c r="F76" i="9"/>
  <c r="J79" i="9"/>
  <c r="F80" i="9"/>
  <c r="R81" i="9"/>
  <c r="R84" i="9"/>
  <c r="J87" i="9"/>
  <c r="R89" i="9"/>
  <c r="J16" i="10"/>
  <c r="J27" i="11"/>
  <c r="J31" i="11"/>
  <c r="X218" i="12"/>
  <c r="Z218" i="12" s="1"/>
  <c r="L15" i="15"/>
  <c r="N15" i="15" s="1"/>
  <c r="H12" i="15"/>
  <c r="Z16" i="15"/>
  <c r="X27" i="15"/>
  <c r="Z27" i="15" s="1"/>
  <c r="Z204" i="15"/>
  <c r="N214" i="15"/>
  <c r="V24" i="16"/>
  <c r="R36" i="17"/>
  <c r="R33" i="17"/>
  <c r="R29" i="17"/>
  <c r="R25" i="17"/>
  <c r="P18" i="17"/>
  <c r="R15" i="17"/>
  <c r="R22" i="17"/>
  <c r="X12" i="17"/>
  <c r="R20" i="17"/>
  <c r="R16" i="17"/>
  <c r="R24" i="17"/>
  <c r="R21" i="17"/>
  <c r="R18" i="17"/>
  <c r="R241" i="18"/>
  <c r="R226" i="18"/>
  <c r="R222" i="18"/>
  <c r="R199" i="18"/>
  <c r="R194" i="18"/>
  <c r="R182" i="18"/>
  <c r="R179" i="18"/>
  <c r="R170" i="18"/>
  <c r="R162" i="18"/>
  <c r="R150" i="18"/>
  <c r="R142" i="18"/>
  <c r="R134" i="18"/>
  <c r="R126" i="18"/>
  <c r="R118" i="18"/>
  <c r="R110" i="18"/>
  <c r="R102" i="18"/>
  <c r="R94" i="18"/>
  <c r="R225" i="18"/>
  <c r="R221" i="18"/>
  <c r="R193" i="18"/>
  <c r="R190" i="18"/>
  <c r="R169" i="18"/>
  <c r="R166" i="18"/>
  <c r="R161" i="18"/>
  <c r="R157" i="18"/>
  <c r="R149" i="18"/>
  <c r="R146" i="18"/>
  <c r="R141" i="18"/>
  <c r="R133" i="18"/>
  <c r="R125" i="18"/>
  <c r="R117" i="18"/>
  <c r="R109" i="18"/>
  <c r="R101" i="18"/>
  <c r="R239" i="18"/>
  <c r="R232" i="18"/>
  <c r="R228" i="18"/>
  <c r="R220" i="18"/>
  <c r="R212" i="18"/>
  <c r="R196" i="18"/>
  <c r="R184" i="18"/>
  <c r="R181" i="18"/>
  <c r="R172" i="18"/>
  <c r="R160" i="18"/>
  <c r="R156" i="18"/>
  <c r="R148" i="18"/>
  <c r="R140" i="18"/>
  <c r="R132" i="18"/>
  <c r="R124" i="18"/>
  <c r="R116" i="18"/>
  <c r="R237" i="18"/>
  <c r="R234" i="18"/>
  <c r="R230" i="18"/>
  <c r="R227" i="18"/>
  <c r="R218" i="18"/>
  <c r="R214" i="18"/>
  <c r="R210" i="18"/>
  <c r="R206" i="18"/>
  <c r="R202" i="18"/>
  <c r="R198" i="18"/>
  <c r="R195" i="18"/>
  <c r="R186" i="18"/>
  <c r="R183" i="18"/>
  <c r="R178" i="18"/>
  <c r="R174" i="18"/>
  <c r="R171" i="18"/>
  <c r="R154" i="18"/>
  <c r="R147" i="18"/>
  <c r="R138" i="18"/>
  <c r="R130" i="18"/>
  <c r="R122" i="18"/>
  <c r="R114" i="18"/>
  <c r="R106" i="18"/>
  <c r="R98" i="18"/>
  <c r="R240" i="18"/>
  <c r="R217" i="18"/>
  <c r="R209" i="18"/>
  <c r="R205" i="18"/>
  <c r="R201" i="18"/>
  <c r="R189" i="18"/>
  <c r="R177" i="18"/>
  <c r="R165" i="18"/>
  <c r="R158" i="18"/>
  <c r="R153" i="18"/>
  <c r="R144" i="18"/>
  <c r="R137" i="18"/>
  <c r="R129" i="18"/>
  <c r="R121" i="18"/>
  <c r="R113" i="18"/>
  <c r="R105" i="18"/>
  <c r="R97" i="18"/>
  <c r="R246" i="18"/>
  <c r="R233" i="18"/>
  <c r="R229" i="18"/>
  <c r="R213" i="18"/>
  <c r="R200" i="18"/>
  <c r="R197" i="18"/>
  <c r="R185" i="18"/>
  <c r="R180" i="18"/>
  <c r="R173" i="18"/>
  <c r="R164" i="18"/>
  <c r="R152" i="18"/>
  <c r="P144" i="18"/>
  <c r="R238" i="18"/>
  <c r="R223" i="18"/>
  <c r="R216" i="18"/>
  <c r="R208" i="18"/>
  <c r="R204" i="18"/>
  <c r="R191" i="18"/>
  <c r="R188" i="18"/>
  <c r="R176" i="18"/>
  <c r="R167" i="18"/>
  <c r="R163" i="18"/>
  <c r="R151" i="18"/>
  <c r="R135" i="18"/>
  <c r="R127" i="18"/>
  <c r="R119" i="18"/>
  <c r="R111" i="18"/>
  <c r="R103" i="18"/>
  <c r="R95" i="18"/>
  <c r="R215" i="18"/>
  <c r="R187" i="18"/>
  <c r="R123" i="18"/>
  <c r="R120" i="18"/>
  <c r="R112" i="18"/>
  <c r="R242" i="18"/>
  <c r="R231" i="18"/>
  <c r="R159" i="18"/>
  <c r="R115" i="18"/>
  <c r="R211" i="18"/>
  <c r="R192" i="18"/>
  <c r="R99" i="18"/>
  <c r="R96" i="18"/>
  <c r="R219" i="18"/>
  <c r="R175" i="18"/>
  <c r="R168" i="18"/>
  <c r="R136" i="18"/>
  <c r="R131" i="18"/>
  <c r="R128" i="18"/>
  <c r="R107" i="18"/>
  <c r="R104" i="18"/>
  <c r="R155" i="18"/>
  <c r="R139" i="18"/>
  <c r="R108" i="18"/>
  <c r="R93" i="18"/>
  <c r="R207" i="18"/>
  <c r="N24" i="18"/>
  <c r="Z28" i="18"/>
  <c r="R203" i="18"/>
  <c r="J16" i="14"/>
  <c r="J20" i="14"/>
  <c r="D213" i="15"/>
  <c r="T213" i="15"/>
  <c r="L12" i="16"/>
  <c r="J16" i="17"/>
  <c r="J20" i="17"/>
  <c r="F22" i="17"/>
  <c r="V22" i="17"/>
  <c r="X15" i="18"/>
  <c r="Z15" i="18" s="1"/>
  <c r="L19" i="18"/>
  <c r="N19" i="18" s="1"/>
  <c r="X23" i="18"/>
  <c r="Z23" i="18" s="1"/>
  <c r="L27" i="18"/>
  <c r="X31" i="18"/>
  <c r="Z31" i="18" s="1"/>
  <c r="L35" i="18"/>
  <c r="N35" i="18" s="1"/>
  <c r="X39" i="18"/>
  <c r="X42" i="18"/>
  <c r="Z42" i="18" s="1"/>
  <c r="L50" i="18"/>
  <c r="L51" i="18"/>
  <c r="N52" i="18"/>
  <c r="N53" i="18"/>
  <c r="L56" i="18"/>
  <c r="N56" i="18" s="1"/>
  <c r="L66" i="18"/>
  <c r="N66" i="18" s="1"/>
  <c r="L69" i="18"/>
  <c r="L72" i="18"/>
  <c r="Z85" i="18"/>
  <c r="X171" i="18"/>
  <c r="Z171" i="18" s="1"/>
  <c r="L173" i="18"/>
  <c r="N173" i="18" s="1"/>
  <c r="P236" i="18"/>
  <c r="R236" i="18" s="1"/>
  <c r="X239" i="18"/>
  <c r="Z239" i="18" s="1"/>
  <c r="R27" i="20"/>
  <c r="Z58" i="21"/>
  <c r="N60" i="21"/>
  <c r="R67" i="21"/>
  <c r="N34" i="23"/>
  <c r="L34" i="23"/>
  <c r="L16" i="25"/>
  <c r="N16" i="25" s="1"/>
  <c r="L59" i="25"/>
  <c r="N59" i="25" s="1"/>
  <c r="L13" i="13"/>
  <c r="F18" i="13"/>
  <c r="J22" i="13"/>
  <c r="R24" i="13"/>
  <c r="L12" i="14"/>
  <c r="F15" i="14"/>
  <c r="V15" i="14"/>
  <c r="D18" i="14"/>
  <c r="T18" i="14"/>
  <c r="F25" i="14"/>
  <c r="V25" i="14"/>
  <c r="F29" i="14"/>
  <c r="V29" i="14"/>
  <c r="F33" i="14"/>
  <c r="V33" i="14"/>
  <c r="F36" i="14"/>
  <c r="V36" i="14"/>
  <c r="N12" i="16"/>
  <c r="J22" i="16"/>
  <c r="L12" i="17"/>
  <c r="F15" i="17"/>
  <c r="V15" i="17"/>
  <c r="D18" i="17"/>
  <c r="T18" i="17"/>
  <c r="F25" i="17"/>
  <c r="V25" i="17"/>
  <c r="F29" i="17"/>
  <c r="V29" i="17"/>
  <c r="F33" i="17"/>
  <c r="V33" i="17"/>
  <c r="F36" i="17"/>
  <c r="V36" i="17"/>
  <c r="Z41" i="18"/>
  <c r="D236" i="18"/>
  <c r="L236" i="18" s="1"/>
  <c r="N236" i="18" s="1"/>
  <c r="L237" i="18"/>
  <c r="N237" i="18" s="1"/>
  <c r="V33" i="21"/>
  <c r="X92" i="25"/>
  <c r="Z92" i="25" s="1"/>
  <c r="X16" i="27"/>
  <c r="Z16" i="27"/>
  <c r="R167" i="34"/>
  <c r="R157" i="34"/>
  <c r="R154" i="34"/>
  <c r="R142" i="34"/>
  <c r="R134" i="34"/>
  <c r="R130" i="34"/>
  <c r="R125" i="34"/>
  <c r="R113" i="34"/>
  <c r="R101" i="34"/>
  <c r="R89" i="34"/>
  <c r="R81" i="34"/>
  <c r="R73" i="34"/>
  <c r="R65" i="34"/>
  <c r="R58" i="34"/>
  <c r="R145" i="34"/>
  <c r="R137" i="34"/>
  <c r="R124" i="34"/>
  <c r="R121" i="34"/>
  <c r="R109" i="34"/>
  <c r="R104" i="34"/>
  <c r="R100" i="34"/>
  <c r="R96" i="34"/>
  <c r="R80" i="34"/>
  <c r="R72" i="34"/>
  <c r="R64" i="34"/>
  <c r="R162" i="34"/>
  <c r="R159" i="34"/>
  <c r="R156" i="34"/>
  <c r="R151" i="34"/>
  <c r="R127" i="34"/>
  <c r="R115" i="34"/>
  <c r="R112" i="34"/>
  <c r="R99" i="34"/>
  <c r="R95" i="34"/>
  <c r="R88" i="34"/>
  <c r="R79" i="34"/>
  <c r="R71" i="34"/>
  <c r="R63" i="34"/>
  <c r="R150" i="34"/>
  <c r="R123" i="34"/>
  <c r="R118" i="34"/>
  <c r="R106" i="34"/>
  <c r="R103" i="34"/>
  <c r="R98" i="34"/>
  <c r="R94" i="34"/>
  <c r="R78" i="34"/>
  <c r="R70" i="34"/>
  <c r="R62" i="34"/>
  <c r="R163" i="34"/>
  <c r="R148" i="34"/>
  <c r="R144" i="34"/>
  <c r="R140" i="34"/>
  <c r="R136" i="34"/>
  <c r="R132" i="34"/>
  <c r="R120" i="34"/>
  <c r="R108" i="34"/>
  <c r="R105" i="34"/>
  <c r="R97" i="34"/>
  <c r="R92" i="34"/>
  <c r="R76" i="34"/>
  <c r="R68" i="34"/>
  <c r="R60" i="34"/>
  <c r="X12" i="34"/>
  <c r="R153" i="34"/>
  <c r="R135" i="34"/>
  <c r="R91" i="34"/>
  <c r="P85" i="34"/>
  <c r="R85" i="34" s="1"/>
  <c r="R74" i="34"/>
  <c r="R149" i="34"/>
  <c r="R129" i="34"/>
  <c r="R116" i="34"/>
  <c r="R75" i="34"/>
  <c r="R161" i="34"/>
  <c r="R147" i="34"/>
  <c r="R141" i="34"/>
  <c r="R131" i="34"/>
  <c r="R117" i="34"/>
  <c r="R87" i="34"/>
  <c r="R82" i="34"/>
  <c r="R158" i="34"/>
  <c r="R138" i="34"/>
  <c r="R126" i="34"/>
  <c r="R102" i="34"/>
  <c r="R83" i="34"/>
  <c r="R143" i="34"/>
  <c r="R139" i="34"/>
  <c r="R69" i="34"/>
  <c r="R152" i="34"/>
  <c r="R119" i="34"/>
  <c r="R114" i="34"/>
  <c r="R110" i="34"/>
  <c r="R93" i="34"/>
  <c r="R77" i="34"/>
  <c r="R66" i="34"/>
  <c r="R59" i="34"/>
  <c r="R133" i="34"/>
  <c r="R128" i="34"/>
  <c r="R111" i="34"/>
  <c r="R90" i="34"/>
  <c r="R67" i="34"/>
  <c r="R155" i="34"/>
  <c r="R146" i="34"/>
  <c r="R122" i="34"/>
  <c r="R61" i="34"/>
  <c r="R107" i="34"/>
  <c r="H221" i="12"/>
  <c r="L221" i="12" s="1"/>
  <c r="J15" i="13"/>
  <c r="H18" i="13"/>
  <c r="F21" i="13"/>
  <c r="J25" i="13"/>
  <c r="R27" i="13"/>
  <c r="J29" i="13"/>
  <c r="R31" i="13"/>
  <c r="J33" i="13"/>
  <c r="R34" i="13"/>
  <c r="J36" i="13"/>
  <c r="N12" i="14"/>
  <c r="F18" i="14"/>
  <c r="V18" i="14"/>
  <c r="J22" i="14"/>
  <c r="L13" i="15"/>
  <c r="N13" i="15" s="1"/>
  <c r="H213" i="15"/>
  <c r="J15" i="16"/>
  <c r="H18" i="16"/>
  <c r="J25" i="16"/>
  <c r="R27" i="16"/>
  <c r="J29" i="16"/>
  <c r="R31" i="16"/>
  <c r="J33" i="16"/>
  <c r="R34" i="16"/>
  <c r="J36" i="16"/>
  <c r="N12" i="17"/>
  <c r="F18" i="17"/>
  <c r="V18" i="17"/>
  <c r="J22" i="17"/>
  <c r="Z57" i="18"/>
  <c r="L68" i="18"/>
  <c r="Z73" i="18"/>
  <c r="Z84" i="18"/>
  <c r="N181" i="18"/>
  <c r="Z199" i="18"/>
  <c r="X227" i="18"/>
  <c r="Z227" i="18" s="1"/>
  <c r="L229" i="18"/>
  <c r="N229" i="18" s="1"/>
  <c r="N29" i="21"/>
  <c r="F18" i="22"/>
  <c r="F36" i="22"/>
  <c r="F33" i="22"/>
  <c r="F29" i="22"/>
  <c r="F25" i="22"/>
  <c r="D18" i="22"/>
  <c r="F15" i="22"/>
  <c r="L12" i="22"/>
  <c r="F22" i="22"/>
  <c r="F20" i="22"/>
  <c r="F16" i="22"/>
  <c r="F34" i="22"/>
  <c r="F31" i="22"/>
  <c r="F27" i="22"/>
  <c r="F24" i="22"/>
  <c r="F21" i="22"/>
  <c r="N20" i="22"/>
  <c r="L20" i="22"/>
  <c r="Z111" i="25"/>
  <c r="T110" i="25"/>
  <c r="X111" i="25"/>
  <c r="N21" i="33"/>
  <c r="L21" i="33"/>
  <c r="J21" i="13"/>
  <c r="F27" i="13"/>
  <c r="F31" i="13"/>
  <c r="F34" i="13"/>
  <c r="J18" i="14"/>
  <c r="F24" i="14"/>
  <c r="V24" i="14"/>
  <c r="T12" i="15"/>
  <c r="J21" i="16"/>
  <c r="J18" i="17"/>
  <c r="F24" i="17"/>
  <c r="V24" i="17"/>
  <c r="T12" i="18"/>
  <c r="Z48" i="18"/>
  <c r="Z49" i="18"/>
  <c r="L58" i="18"/>
  <c r="N58" i="18" s="1"/>
  <c r="L61" i="18"/>
  <c r="L74" i="18"/>
  <c r="N74" i="18" s="1"/>
  <c r="L77" i="18"/>
  <c r="Z81" i="18"/>
  <c r="Z89" i="18"/>
  <c r="T236" i="18"/>
  <c r="X237" i="18"/>
  <c r="Z237" i="18" s="1"/>
  <c r="Z34" i="19"/>
  <c r="X34" i="19"/>
  <c r="R77" i="21"/>
  <c r="R73" i="21"/>
  <c r="R65" i="21"/>
  <c r="R62" i="21"/>
  <c r="R57" i="21"/>
  <c r="R54" i="21"/>
  <c r="R41" i="21"/>
  <c r="R37" i="21"/>
  <c r="R30" i="21"/>
  <c r="R90" i="21"/>
  <c r="R84" i="21"/>
  <c r="R81" i="21"/>
  <c r="R76" i="21"/>
  <c r="R72" i="21"/>
  <c r="R68" i="21"/>
  <c r="R48" i="21"/>
  <c r="R45" i="21"/>
  <c r="R36" i="21"/>
  <c r="R27" i="21"/>
  <c r="X12" i="21"/>
  <c r="R75" i="21"/>
  <c r="R71" i="21"/>
  <c r="R64" i="21"/>
  <c r="R59" i="21"/>
  <c r="R56" i="21"/>
  <c r="R40" i="21"/>
  <c r="R35" i="21"/>
  <c r="P27" i="21"/>
  <c r="R74" i="21"/>
  <c r="R61" i="21"/>
  <c r="R58" i="21"/>
  <c r="R53" i="21"/>
  <c r="R33" i="21"/>
  <c r="R25" i="21"/>
  <c r="R80" i="21"/>
  <c r="R69" i="21"/>
  <c r="R52" i="21"/>
  <c r="R49" i="21"/>
  <c r="R44" i="21"/>
  <c r="R32" i="21"/>
  <c r="R29" i="21"/>
  <c r="R24" i="21"/>
  <c r="R86" i="21"/>
  <c r="R79" i="21"/>
  <c r="R63" i="21"/>
  <c r="R60" i="21"/>
  <c r="R55" i="21"/>
  <c r="R43" i="21"/>
  <c r="R39" i="21"/>
  <c r="R31" i="21"/>
  <c r="R82" i="21"/>
  <c r="R78" i="21"/>
  <c r="R66" i="21"/>
  <c r="R51" i="21"/>
  <c r="R46" i="21"/>
  <c r="R42" i="21"/>
  <c r="R38" i="21"/>
  <c r="R23" i="21"/>
  <c r="Z19" i="21"/>
  <c r="X19" i="21"/>
  <c r="Z30" i="21"/>
  <c r="V49" i="21"/>
  <c r="J24" i="13"/>
  <c r="J21" i="14"/>
  <c r="F27" i="14"/>
  <c r="V27" i="14"/>
  <c r="F31" i="14"/>
  <c r="V31" i="14"/>
  <c r="F34" i="14"/>
  <c r="V34" i="14"/>
  <c r="F27" i="17"/>
  <c r="F31" i="17"/>
  <c r="F34" i="17"/>
  <c r="N61" i="18"/>
  <c r="Z183" i="18"/>
  <c r="X183" i="18"/>
  <c r="L185" i="18"/>
  <c r="N185" i="18" s="1"/>
  <c r="Z195" i="18"/>
  <c r="X195" i="18"/>
  <c r="N197" i="18"/>
  <c r="L197" i="18"/>
  <c r="N213" i="18"/>
  <c r="L213" i="18"/>
  <c r="R22" i="20"/>
  <c r="X12" i="20"/>
  <c r="R20" i="20"/>
  <c r="R16" i="20"/>
  <c r="R24" i="20"/>
  <c r="R21" i="20"/>
  <c r="R18" i="20"/>
  <c r="R36" i="20"/>
  <c r="R33" i="20"/>
  <c r="R29" i="20"/>
  <c r="R25" i="20"/>
  <c r="P18" i="20"/>
  <c r="R15" i="20"/>
  <c r="R34" i="20"/>
  <c r="V69" i="21"/>
  <c r="Z22" i="22"/>
  <c r="X22" i="22"/>
  <c r="X20" i="24"/>
  <c r="Z20" i="24"/>
  <c r="X124" i="28"/>
  <c r="Z124" i="28"/>
  <c r="L126" i="28"/>
  <c r="N126" i="28" s="1"/>
  <c r="L161" i="12"/>
  <c r="X167" i="12"/>
  <c r="Z167" i="12" s="1"/>
  <c r="L201" i="12"/>
  <c r="N201" i="12" s="1"/>
  <c r="L223" i="12"/>
  <c r="N223" i="12" s="1"/>
  <c r="R15" i="13"/>
  <c r="X16" i="13"/>
  <c r="P18" i="13"/>
  <c r="R25" i="13"/>
  <c r="J27" i="13"/>
  <c r="R29" i="13"/>
  <c r="J31" i="13"/>
  <c r="R33" i="13"/>
  <c r="J34" i="13"/>
  <c r="R36" i="13"/>
  <c r="Z12" i="14"/>
  <c r="F16" i="14"/>
  <c r="V16" i="14"/>
  <c r="J24" i="14"/>
  <c r="X34" i="14"/>
  <c r="R15" i="16"/>
  <c r="P18" i="16"/>
  <c r="R25" i="16"/>
  <c r="J27" i="16"/>
  <c r="R29" i="16"/>
  <c r="J31" i="16"/>
  <c r="R33" i="16"/>
  <c r="J34" i="16"/>
  <c r="Z12" i="17"/>
  <c r="F16" i="17"/>
  <c r="V16" i="17"/>
  <c r="L46" i="18"/>
  <c r="N46" i="18" s="1"/>
  <c r="L60" i="18"/>
  <c r="N60" i="18" s="1"/>
  <c r="L76" i="18"/>
  <c r="N76" i="18" s="1"/>
  <c r="Z80" i="18"/>
  <c r="N85" i="18"/>
  <c r="Z88" i="18"/>
  <c r="N93" i="18"/>
  <c r="L233" i="18"/>
  <c r="N233" i="18" s="1"/>
  <c r="Z241" i="18"/>
  <c r="V20" i="19"/>
  <c r="V16" i="19"/>
  <c r="Z12" i="19"/>
  <c r="V34" i="19"/>
  <c r="V31" i="19"/>
  <c r="V27" i="19"/>
  <c r="X12" i="19"/>
  <c r="V21" i="19"/>
  <c r="V18" i="19"/>
  <c r="V36" i="19"/>
  <c r="V33" i="19"/>
  <c r="V29" i="19"/>
  <c r="V25" i="19"/>
  <c r="T18" i="19"/>
  <c r="V15" i="19"/>
  <c r="V22" i="19"/>
  <c r="X24" i="20"/>
  <c r="R34" i="21"/>
  <c r="V53" i="21"/>
  <c r="X74" i="21"/>
  <c r="N22" i="25"/>
  <c r="P110" i="25"/>
  <c r="X110" i="25" s="1"/>
  <c r="X112" i="25"/>
  <c r="Z112" i="25" s="1"/>
  <c r="J16" i="13"/>
  <c r="J27" i="14"/>
  <c r="J31" i="14"/>
  <c r="J16" i="16"/>
  <c r="N45" i="18"/>
  <c r="N57" i="18"/>
  <c r="Z61" i="18"/>
  <c r="Z64" i="18"/>
  <c r="N73" i="18"/>
  <c r="Z77" i="18"/>
  <c r="N84" i="18"/>
  <c r="X147" i="18"/>
  <c r="Z147" i="18" s="1"/>
  <c r="N158" i="18"/>
  <c r="N15" i="21"/>
  <c r="L15" i="21"/>
  <c r="H12" i="21"/>
  <c r="V90" i="21"/>
  <c r="V84" i="21"/>
  <c r="V76" i="21"/>
  <c r="V72" i="21"/>
  <c r="V68" i="21"/>
  <c r="V64" i="21"/>
  <c r="V56" i="21"/>
  <c r="V48" i="21"/>
  <c r="V40" i="21"/>
  <c r="V36" i="21"/>
  <c r="T27" i="21"/>
  <c r="Z12" i="21"/>
  <c r="V83" i="21"/>
  <c r="V75" i="21"/>
  <c r="V71" i="21"/>
  <c r="V67" i="21"/>
  <c r="V59" i="21"/>
  <c r="V47" i="21"/>
  <c r="V35" i="21"/>
  <c r="V74" i="21"/>
  <c r="V70" i="21"/>
  <c r="V58" i="21"/>
  <c r="V50" i="21"/>
  <c r="V34" i="21"/>
  <c r="V86" i="21"/>
  <c r="V80" i="21"/>
  <c r="V60" i="21"/>
  <c r="V52" i="21"/>
  <c r="V44" i="21"/>
  <c r="V32" i="21"/>
  <c r="V24" i="21"/>
  <c r="V79" i="21"/>
  <c r="V63" i="21"/>
  <c r="V55" i="21"/>
  <c r="V51" i="21"/>
  <c r="V43" i="21"/>
  <c r="V39" i="21"/>
  <c r="V31" i="21"/>
  <c r="V23" i="21"/>
  <c r="V82" i="21"/>
  <c r="V78" i="21"/>
  <c r="V66" i="21"/>
  <c r="V62" i="21"/>
  <c r="V54" i="21"/>
  <c r="V46" i="21"/>
  <c r="V42" i="21"/>
  <c r="V38" i="21"/>
  <c r="V30" i="21"/>
  <c r="V81" i="21"/>
  <c r="V77" i="21"/>
  <c r="V73" i="21"/>
  <c r="V65" i="21"/>
  <c r="V57" i="21"/>
  <c r="V45" i="21"/>
  <c r="V41" i="21"/>
  <c r="V37" i="21"/>
  <c r="Z74" i="21"/>
  <c r="N29" i="24"/>
  <c r="L29" i="24"/>
  <c r="X85" i="25"/>
  <c r="Z85" i="25" s="1"/>
  <c r="Z192" i="18"/>
  <c r="N240" i="18"/>
  <c r="Z242" i="18"/>
  <c r="J16" i="19"/>
  <c r="J20" i="19"/>
  <c r="Z20" i="19"/>
  <c r="J27" i="20"/>
  <c r="J31" i="20"/>
  <c r="J34" i="20"/>
  <c r="D12" i="21"/>
  <c r="V21" i="22"/>
  <c r="J25" i="22"/>
  <c r="R27" i="22"/>
  <c r="J29" i="22"/>
  <c r="R31" i="22"/>
  <c r="J33" i="22"/>
  <c r="R34" i="22"/>
  <c r="J36" i="22"/>
  <c r="R24" i="23"/>
  <c r="R34" i="23"/>
  <c r="L24" i="24"/>
  <c r="N24" i="24"/>
  <c r="Z59" i="25"/>
  <c r="X60" i="25"/>
  <c r="Z60" i="25" s="1"/>
  <c r="L70" i="25"/>
  <c r="N70" i="25"/>
  <c r="L85" i="25"/>
  <c r="L111" i="25"/>
  <c r="X13" i="28"/>
  <c r="N21" i="28"/>
  <c r="L25" i="28"/>
  <c r="L30" i="28"/>
  <c r="Z41" i="28"/>
  <c r="N48" i="28"/>
  <c r="X50" i="28"/>
  <c r="F75" i="31"/>
  <c r="F67" i="31"/>
  <c r="F58" i="31"/>
  <c r="F35" i="31"/>
  <c r="F27" i="31"/>
  <c r="F54" i="31"/>
  <c r="F49" i="31"/>
  <c r="F46" i="31"/>
  <c r="F42" i="31"/>
  <c r="F33" i="31"/>
  <c r="F78" i="31"/>
  <c r="F72" i="31"/>
  <c r="F64" i="31"/>
  <c r="F60" i="31"/>
  <c r="F57" i="31"/>
  <c r="F45" i="31"/>
  <c r="F41" i="31"/>
  <c r="F79" i="31"/>
  <c r="F70" i="31"/>
  <c r="F62" i="31"/>
  <c r="F53" i="31"/>
  <c r="F50" i="31"/>
  <c r="F38" i="31"/>
  <c r="F31" i="31"/>
  <c r="F73" i="31"/>
  <c r="F44" i="31"/>
  <c r="F74" i="31"/>
  <c r="F43" i="31"/>
  <c r="F77" i="31"/>
  <c r="F69" i="31"/>
  <c r="F68" i="31"/>
  <c r="F66" i="31"/>
  <c r="F51" i="31"/>
  <c r="F39" i="31"/>
  <c r="F56" i="31"/>
  <c r="F52" i="31"/>
  <c r="F47" i="31"/>
  <c r="F34" i="31"/>
  <c r="F61" i="31"/>
  <c r="F59" i="31"/>
  <c r="F55" i="31"/>
  <c r="F40" i="31"/>
  <c r="D31" i="31"/>
  <c r="F37" i="31"/>
  <c r="F36" i="31"/>
  <c r="F83" i="31"/>
  <c r="F71" i="31"/>
  <c r="L12" i="31"/>
  <c r="F29" i="31"/>
  <c r="X87" i="34"/>
  <c r="Z87" i="34" s="1"/>
  <c r="V142" i="34"/>
  <c r="F100" i="36"/>
  <c r="F95" i="36"/>
  <c r="F88" i="36"/>
  <c r="F84" i="36"/>
  <c r="F80" i="36"/>
  <c r="F76" i="36"/>
  <c r="F72" i="36"/>
  <c r="F67" i="36"/>
  <c r="F64" i="36"/>
  <c r="F59" i="36"/>
  <c r="F56" i="36"/>
  <c r="F108" i="36"/>
  <c r="F103" i="36"/>
  <c r="F87" i="36"/>
  <c r="F83" i="36"/>
  <c r="F79" i="36"/>
  <c r="F50" i="36"/>
  <c r="F47" i="36"/>
  <c r="F39" i="36"/>
  <c r="F112" i="36"/>
  <c r="F97" i="36"/>
  <c r="F94" i="36"/>
  <c r="F86" i="36"/>
  <c r="F78" i="36"/>
  <c r="F69" i="36"/>
  <c r="F66" i="36"/>
  <c r="F61" i="36"/>
  <c r="F58" i="36"/>
  <c r="F53" i="36"/>
  <c r="F38" i="36"/>
  <c r="F34" i="36"/>
  <c r="F106" i="36"/>
  <c r="F93" i="36"/>
  <c r="F49" i="36"/>
  <c r="F44" i="36"/>
  <c r="F99" i="36"/>
  <c r="F96" i="36"/>
  <c r="F92" i="36"/>
  <c r="F75" i="36"/>
  <c r="F71" i="36"/>
  <c r="F68" i="36"/>
  <c r="F63" i="36"/>
  <c r="F60" i="36"/>
  <c r="F55" i="36"/>
  <c r="F52" i="36"/>
  <c r="F32" i="36"/>
  <c r="F107" i="36"/>
  <c r="F98" i="36"/>
  <c r="F90" i="36"/>
  <c r="F85" i="36"/>
  <c r="F77" i="36"/>
  <c r="F74" i="36"/>
  <c r="F70" i="36"/>
  <c r="F65" i="36"/>
  <c r="F62" i="36"/>
  <c r="F57" i="36"/>
  <c r="F54" i="36"/>
  <c r="F42" i="36"/>
  <c r="F48" i="36"/>
  <c r="F29" i="36"/>
  <c r="F21" i="36"/>
  <c r="F91" i="36"/>
  <c r="F81" i="36"/>
  <c r="F28" i="36"/>
  <c r="F51" i="36"/>
  <c r="F26" i="36"/>
  <c r="F89" i="36"/>
  <c r="F82" i="36"/>
  <c r="F43" i="36"/>
  <c r="F20" i="36"/>
  <c r="F102" i="36"/>
  <c r="F41" i="36"/>
  <c r="F35" i="36"/>
  <c r="F31" i="36"/>
  <c r="F40" i="36"/>
  <c r="F46" i="36"/>
  <c r="F36" i="36"/>
  <c r="F101" i="36"/>
  <c r="F37" i="36"/>
  <c r="F30" i="36"/>
  <c r="F22" i="36"/>
  <c r="F45" i="36"/>
  <c r="F33" i="36"/>
  <c r="F27" i="36"/>
  <c r="J16" i="20"/>
  <c r="J20" i="20"/>
  <c r="V24" i="22"/>
  <c r="R27" i="23"/>
  <c r="R31" i="23"/>
  <c r="N85" i="25"/>
  <c r="N111" i="25"/>
  <c r="H110" i="25"/>
  <c r="Z13" i="28"/>
  <c r="T12" i="28"/>
  <c r="X112" i="28"/>
  <c r="Z112" i="28"/>
  <c r="L114" i="28"/>
  <c r="N114" i="28" s="1"/>
  <c r="D27" i="30"/>
  <c r="N12" i="19"/>
  <c r="J22" i="19"/>
  <c r="L12" i="20"/>
  <c r="F15" i="20"/>
  <c r="V15" i="20"/>
  <c r="D18" i="20"/>
  <c r="T18" i="20"/>
  <c r="F25" i="20"/>
  <c r="V25" i="20"/>
  <c r="F29" i="20"/>
  <c r="V29" i="20"/>
  <c r="F33" i="20"/>
  <c r="V33" i="20"/>
  <c r="F36" i="20"/>
  <c r="V36" i="20"/>
  <c r="L40" i="21"/>
  <c r="X54" i="21"/>
  <c r="Z54" i="21" s="1"/>
  <c r="L56" i="21"/>
  <c r="N56" i="21" s="1"/>
  <c r="X62" i="21"/>
  <c r="Z62" i="21" s="1"/>
  <c r="L64" i="21"/>
  <c r="X12" i="22"/>
  <c r="J21" i="22"/>
  <c r="V27" i="22"/>
  <c r="V31" i="22"/>
  <c r="V34" i="22"/>
  <c r="R16" i="23"/>
  <c r="J18" i="23"/>
  <c r="R20" i="23"/>
  <c r="F24" i="23"/>
  <c r="V24" i="23"/>
  <c r="L33" i="23"/>
  <c r="V34" i="23"/>
  <c r="L13" i="24"/>
  <c r="V27" i="24"/>
  <c r="Z21" i="25"/>
  <c r="N24" i="25"/>
  <c r="N25" i="25"/>
  <c r="X28" i="25"/>
  <c r="L98" i="25"/>
  <c r="N98" i="25" s="1"/>
  <c r="X101" i="25"/>
  <c r="Z101" i="25" s="1"/>
  <c r="N104" i="25"/>
  <c r="L34" i="26"/>
  <c r="N34" i="26"/>
  <c r="D27" i="27"/>
  <c r="L20" i="27"/>
  <c r="L24" i="27"/>
  <c r="N24" i="27"/>
  <c r="Z26" i="28"/>
  <c r="Z45" i="28"/>
  <c r="Z103" i="28"/>
  <c r="D156" i="28"/>
  <c r="L156" i="28" s="1"/>
  <c r="L158" i="28"/>
  <c r="F28" i="31"/>
  <c r="L112" i="34"/>
  <c r="N112" i="34"/>
  <c r="X161" i="34"/>
  <c r="F73" i="36"/>
  <c r="Z77" i="36"/>
  <c r="X77" i="36"/>
  <c r="J15" i="19"/>
  <c r="H18" i="19"/>
  <c r="J25" i="19"/>
  <c r="R27" i="19"/>
  <c r="J29" i="19"/>
  <c r="R31" i="19"/>
  <c r="J33" i="19"/>
  <c r="R34" i="19"/>
  <c r="J36" i="19"/>
  <c r="N12" i="20"/>
  <c r="F18" i="20"/>
  <c r="V18" i="20"/>
  <c r="J22" i="20"/>
  <c r="Z16" i="21"/>
  <c r="Z12" i="22"/>
  <c r="V16" i="22"/>
  <c r="V20" i="22"/>
  <c r="R22" i="22"/>
  <c r="J24" i="22"/>
  <c r="X12" i="23"/>
  <c r="J21" i="23"/>
  <c r="F27" i="23"/>
  <c r="V27" i="23"/>
  <c r="F31" i="23"/>
  <c r="V31" i="23"/>
  <c r="F34" i="23"/>
  <c r="X13" i="24"/>
  <c r="X13" i="25"/>
  <c r="Z13" i="25" s="1"/>
  <c r="P12" i="25"/>
  <c r="L17" i="25"/>
  <c r="N17" i="25" s="1"/>
  <c r="X18" i="25"/>
  <c r="Z18" i="25" s="1"/>
  <c r="Z20" i="25"/>
  <c r="L24" i="25"/>
  <c r="Z70" i="25"/>
  <c r="D110" i="25"/>
  <c r="X113" i="25"/>
  <c r="Z113" i="25" s="1"/>
  <c r="N25" i="27"/>
  <c r="D12" i="28"/>
  <c r="Z21" i="28"/>
  <c r="N29" i="28"/>
  <c r="L33" i="28"/>
  <c r="X34" i="28"/>
  <c r="Z34" i="28" s="1"/>
  <c r="N38" i="28"/>
  <c r="Z44" i="28"/>
  <c r="N85" i="28"/>
  <c r="N105" i="28"/>
  <c r="Z114" i="28"/>
  <c r="F63" i="31"/>
  <c r="Z27" i="34"/>
  <c r="X27" i="34"/>
  <c r="J21" i="19"/>
  <c r="J18" i="20"/>
  <c r="F24" i="20"/>
  <c r="V24" i="20"/>
  <c r="J16" i="22"/>
  <c r="R18" i="22"/>
  <c r="J20" i="22"/>
  <c r="V22" i="22"/>
  <c r="R15" i="23"/>
  <c r="P18" i="23"/>
  <c r="R25" i="23"/>
  <c r="J27" i="23"/>
  <c r="R29" i="23"/>
  <c r="J31" i="23"/>
  <c r="R33" i="23"/>
  <c r="V20" i="24"/>
  <c r="V16" i="24"/>
  <c r="Z12" i="24"/>
  <c r="V21" i="24"/>
  <c r="V36" i="24"/>
  <c r="V33" i="24"/>
  <c r="V29" i="24"/>
  <c r="V25" i="24"/>
  <c r="V22" i="24"/>
  <c r="V15" i="24"/>
  <c r="X80" i="25"/>
  <c r="Z80" i="25"/>
  <c r="R18" i="26"/>
  <c r="R36" i="26"/>
  <c r="R33" i="26"/>
  <c r="R29" i="26"/>
  <c r="R25" i="26"/>
  <c r="P18" i="26"/>
  <c r="R15" i="26"/>
  <c r="R20" i="26"/>
  <c r="R16" i="26"/>
  <c r="R24" i="26"/>
  <c r="R21" i="26"/>
  <c r="L22" i="28"/>
  <c r="N37" i="28"/>
  <c r="L41" i="28"/>
  <c r="X42" i="28"/>
  <c r="N46" i="28"/>
  <c r="Z53" i="28"/>
  <c r="Z17" i="31"/>
  <c r="X17" i="31"/>
  <c r="T12" i="31"/>
  <c r="V82" i="34"/>
  <c r="Z161" i="34"/>
  <c r="H27" i="35"/>
  <c r="N18" i="35"/>
  <c r="D24" i="36"/>
  <c r="F24" i="36" s="1"/>
  <c r="J24" i="19"/>
  <c r="J21" i="20"/>
  <c r="F27" i="20"/>
  <c r="V27" i="20"/>
  <c r="F31" i="20"/>
  <c r="V31" i="20"/>
  <c r="F34" i="20"/>
  <c r="V34" i="20"/>
  <c r="V15" i="22"/>
  <c r="T18" i="22"/>
  <c r="X18" i="22" s="1"/>
  <c r="R21" i="22"/>
  <c r="V25" i="22"/>
  <c r="V29" i="22"/>
  <c r="V33" i="22"/>
  <c r="V36" i="22"/>
  <c r="J16" i="23"/>
  <c r="R18" i="23"/>
  <c r="J20" i="23"/>
  <c r="F22" i="23"/>
  <c r="V22" i="23"/>
  <c r="J36" i="23"/>
  <c r="X12" i="24"/>
  <c r="X16" i="24"/>
  <c r="Z16" i="24"/>
  <c r="V31" i="24"/>
  <c r="D12" i="25"/>
  <c r="L94" i="25"/>
  <c r="N94" i="25"/>
  <c r="N101" i="25"/>
  <c r="R31" i="26"/>
  <c r="L15" i="27"/>
  <c r="H18" i="27"/>
  <c r="N29" i="27"/>
  <c r="Z14" i="28"/>
  <c r="N22" i="28"/>
  <c r="Z29" i="28"/>
  <c r="Z42" i="28"/>
  <c r="X158" i="28"/>
  <c r="Z158" i="28" s="1"/>
  <c r="T156" i="28"/>
  <c r="F65" i="31"/>
  <c r="Z72" i="31"/>
  <c r="N77" i="31"/>
  <c r="V162" i="34"/>
  <c r="V156" i="34"/>
  <c r="V124" i="34"/>
  <c r="V112" i="34"/>
  <c r="V104" i="34"/>
  <c r="V100" i="34"/>
  <c r="V96" i="34"/>
  <c r="V88" i="34"/>
  <c r="V80" i="34"/>
  <c r="V72" i="34"/>
  <c r="V64" i="34"/>
  <c r="V159" i="34"/>
  <c r="V151" i="34"/>
  <c r="V127" i="34"/>
  <c r="V123" i="34"/>
  <c r="V115" i="34"/>
  <c r="V103" i="34"/>
  <c r="V99" i="34"/>
  <c r="V95" i="34"/>
  <c r="V85" i="34"/>
  <c r="V79" i="34"/>
  <c r="V71" i="34"/>
  <c r="V63" i="34"/>
  <c r="V158" i="34"/>
  <c r="V150" i="34"/>
  <c r="V126" i="34"/>
  <c r="V118" i="34"/>
  <c r="V114" i="34"/>
  <c r="V106" i="34"/>
  <c r="V98" i="34"/>
  <c r="V94" i="34"/>
  <c r="T85" i="34"/>
  <c r="V78" i="34"/>
  <c r="V70" i="34"/>
  <c r="V62" i="34"/>
  <c r="V163" i="34"/>
  <c r="V153" i="34"/>
  <c r="V149" i="34"/>
  <c r="V141" i="34"/>
  <c r="V133" i="34"/>
  <c r="V129" i="34"/>
  <c r="V117" i="34"/>
  <c r="V105" i="34"/>
  <c r="V97" i="34"/>
  <c r="V93" i="34"/>
  <c r="V77" i="34"/>
  <c r="V69" i="34"/>
  <c r="V61" i="34"/>
  <c r="V161" i="34"/>
  <c r="V155" i="34"/>
  <c r="V147" i="34"/>
  <c r="V143" i="34"/>
  <c r="V139" i="34"/>
  <c r="V135" i="34"/>
  <c r="V131" i="34"/>
  <c r="V119" i="34"/>
  <c r="V111" i="34"/>
  <c r="V107" i="34"/>
  <c r="V91" i="34"/>
  <c r="V87" i="34"/>
  <c r="V83" i="34"/>
  <c r="V75" i="34"/>
  <c r="V67" i="34"/>
  <c r="V59" i="34"/>
  <c r="V144" i="34"/>
  <c r="V140" i="34"/>
  <c r="V130" i="34"/>
  <c r="V120" i="34"/>
  <c r="V81" i="34"/>
  <c r="V60" i="34"/>
  <c r="Z12" i="34"/>
  <c r="V146" i="34"/>
  <c r="V137" i="34"/>
  <c r="V122" i="34"/>
  <c r="V101" i="34"/>
  <c r="V138" i="34"/>
  <c r="V136" i="34"/>
  <c r="V109" i="34"/>
  <c r="V102" i="34"/>
  <c r="V92" i="34"/>
  <c r="V76" i="34"/>
  <c r="V65" i="34"/>
  <c r="V58" i="34"/>
  <c r="V157" i="34"/>
  <c r="V152" i="34"/>
  <c r="V108" i="34"/>
  <c r="V89" i="34"/>
  <c r="V134" i="34"/>
  <c r="V132" i="34"/>
  <c r="V128" i="34"/>
  <c r="V125" i="34"/>
  <c r="V110" i="34"/>
  <c r="V66" i="34"/>
  <c r="V148" i="34"/>
  <c r="V90" i="34"/>
  <c r="V73" i="34"/>
  <c r="V154" i="34"/>
  <c r="V145" i="34"/>
  <c r="V121" i="34"/>
  <c r="V116" i="34"/>
  <c r="V113" i="34"/>
  <c r="V74" i="34"/>
  <c r="Z35" i="34"/>
  <c r="X35" i="34"/>
  <c r="R15" i="19"/>
  <c r="P18" i="19"/>
  <c r="R25" i="19"/>
  <c r="J27" i="19"/>
  <c r="R29" i="19"/>
  <c r="J31" i="19"/>
  <c r="R33" i="19"/>
  <c r="Z12" i="20"/>
  <c r="F16" i="20"/>
  <c r="V16" i="20"/>
  <c r="N12" i="22"/>
  <c r="L12" i="23"/>
  <c r="F15" i="23"/>
  <c r="V15" i="23"/>
  <c r="D18" i="23"/>
  <c r="T18" i="23"/>
  <c r="R21" i="23"/>
  <c r="F25" i="23"/>
  <c r="V25" i="23"/>
  <c r="F29" i="23"/>
  <c r="V29" i="23"/>
  <c r="F33" i="23"/>
  <c r="V33" i="23"/>
  <c r="L22" i="24"/>
  <c r="N21" i="25"/>
  <c r="X29" i="25"/>
  <c r="Z29" i="25" s="1"/>
  <c r="L33" i="25"/>
  <c r="N33" i="25" s="1"/>
  <c r="X34" i="25"/>
  <c r="Z34" i="25" s="1"/>
  <c r="Z83" i="25"/>
  <c r="X12" i="26"/>
  <c r="R22" i="26"/>
  <c r="Z24" i="26"/>
  <c r="X20" i="27"/>
  <c r="Z20" i="27"/>
  <c r="Z21" i="27"/>
  <c r="N16" i="28"/>
  <c r="N17" i="28"/>
  <c r="Z18" i="28"/>
  <c r="Z28" i="28"/>
  <c r="X37" i="28"/>
  <c r="Z37" i="28" s="1"/>
  <c r="N45" i="28"/>
  <c r="L49" i="28"/>
  <c r="L54" i="28"/>
  <c r="N149" i="28"/>
  <c r="N156" i="28"/>
  <c r="F26" i="31"/>
  <c r="F48" i="31"/>
  <c r="N18" i="34"/>
  <c r="L18" i="34"/>
  <c r="J16" i="24"/>
  <c r="R18" i="24"/>
  <c r="J20" i="24"/>
  <c r="F22" i="24"/>
  <c r="H12" i="25"/>
  <c r="L12" i="26"/>
  <c r="F15" i="26"/>
  <c r="V15" i="26"/>
  <c r="D18" i="26"/>
  <c r="T18" i="26"/>
  <c r="F25" i="26"/>
  <c r="V25" i="26"/>
  <c r="F29" i="26"/>
  <c r="V29" i="26"/>
  <c r="F33" i="26"/>
  <c r="V33" i="26"/>
  <c r="F36" i="26"/>
  <c r="V36" i="26"/>
  <c r="J16" i="27"/>
  <c r="R18" i="27"/>
  <c r="J20" i="27"/>
  <c r="F22" i="27"/>
  <c r="V22" i="27"/>
  <c r="H12" i="28"/>
  <c r="J20" i="29"/>
  <c r="J16" i="29"/>
  <c r="J34" i="29"/>
  <c r="J31" i="29"/>
  <c r="J27" i="29"/>
  <c r="F18" i="29"/>
  <c r="V24" i="29"/>
  <c r="F27" i="29"/>
  <c r="F29" i="29"/>
  <c r="V36" i="29"/>
  <c r="J20" i="30"/>
  <c r="J16" i="30"/>
  <c r="J34" i="30"/>
  <c r="J31" i="30"/>
  <c r="J27" i="30"/>
  <c r="J24" i="30"/>
  <c r="J36" i="30"/>
  <c r="J33" i="30"/>
  <c r="J29" i="30"/>
  <c r="J25" i="30"/>
  <c r="H18" i="30"/>
  <c r="J15" i="30"/>
  <c r="J21" i="30"/>
  <c r="L24" i="30"/>
  <c r="V25" i="30"/>
  <c r="X13" i="31"/>
  <c r="P12" i="31"/>
  <c r="N21" i="31"/>
  <c r="Z60" i="31"/>
  <c r="Z66" i="31"/>
  <c r="N21" i="32"/>
  <c r="J27" i="32"/>
  <c r="Z34" i="32"/>
  <c r="X44" i="34"/>
  <c r="Z44" i="34" s="1"/>
  <c r="L50" i="34"/>
  <c r="N50" i="34" s="1"/>
  <c r="X54" i="34"/>
  <c r="Z54" i="34" s="1"/>
  <c r="L56" i="34"/>
  <c r="N58" i="34"/>
  <c r="X97" i="34"/>
  <c r="X105" i="34"/>
  <c r="Z105" i="34" s="1"/>
  <c r="Z13" i="35"/>
  <c r="X13" i="35"/>
  <c r="X16" i="35"/>
  <c r="X20" i="36"/>
  <c r="N107" i="36"/>
  <c r="H105" i="36"/>
  <c r="N25" i="41"/>
  <c r="L25" i="41"/>
  <c r="N70" i="42"/>
  <c r="Z33" i="43"/>
  <c r="X33" i="43"/>
  <c r="N13" i="45"/>
  <c r="F25" i="24"/>
  <c r="F29" i="24"/>
  <c r="F33" i="24"/>
  <c r="F36" i="24"/>
  <c r="V15" i="27"/>
  <c r="T18" i="27"/>
  <c r="V25" i="27"/>
  <c r="V29" i="27"/>
  <c r="F33" i="27"/>
  <c r="V33" i="27"/>
  <c r="F36" i="27"/>
  <c r="V36" i="27"/>
  <c r="V15" i="29"/>
  <c r="H18" i="29"/>
  <c r="V20" i="29"/>
  <c r="V34" i="29"/>
  <c r="Z13" i="31"/>
  <c r="T77" i="31"/>
  <c r="V20" i="33"/>
  <c r="N15" i="34"/>
  <c r="X46" i="34"/>
  <c r="Z46" i="34" s="1"/>
  <c r="L48" i="34"/>
  <c r="N48" i="34" s="1"/>
  <c r="Z51" i="34"/>
  <c r="L87" i="34"/>
  <c r="Z97" i="34"/>
  <c r="N103" i="34"/>
  <c r="Z128" i="34"/>
  <c r="N142" i="34"/>
  <c r="Z154" i="34"/>
  <c r="Z20" i="36"/>
  <c r="N27" i="36"/>
  <c r="F101" i="39"/>
  <c r="Z25" i="43"/>
  <c r="X25" i="43"/>
  <c r="H12" i="34"/>
  <c r="N42" i="34"/>
  <c r="L42" i="34"/>
  <c r="N87" i="34"/>
  <c r="Z57" i="36"/>
  <c r="X57" i="36"/>
  <c r="T105" i="36"/>
  <c r="Z107" i="36"/>
  <c r="X107" i="36"/>
  <c r="N15" i="41"/>
  <c r="L15" i="41"/>
  <c r="Z21" i="41"/>
  <c r="X21" i="41"/>
  <c r="J15" i="24"/>
  <c r="H18" i="24"/>
  <c r="F21" i="24"/>
  <c r="J25" i="24"/>
  <c r="R27" i="24"/>
  <c r="J29" i="24"/>
  <c r="R31" i="24"/>
  <c r="J33" i="24"/>
  <c r="R34" i="24"/>
  <c r="J36" i="24"/>
  <c r="L14" i="25"/>
  <c r="N14" i="25" s="1"/>
  <c r="J18" i="26"/>
  <c r="V24" i="26"/>
  <c r="F21" i="27"/>
  <c r="V21" i="27"/>
  <c r="J25" i="27"/>
  <c r="R27" i="27"/>
  <c r="J29" i="27"/>
  <c r="R31" i="27"/>
  <c r="J33" i="27"/>
  <c r="R34" i="27"/>
  <c r="J36" i="27"/>
  <c r="P12" i="28"/>
  <c r="L14" i="28"/>
  <c r="N14" i="28" s="1"/>
  <c r="R18" i="29"/>
  <c r="R36" i="29"/>
  <c r="R33" i="29"/>
  <c r="R29" i="29"/>
  <c r="R25" i="29"/>
  <c r="P18" i="29"/>
  <c r="R16" i="29"/>
  <c r="V21" i="29"/>
  <c r="N29" i="29"/>
  <c r="F34" i="29"/>
  <c r="F36" i="29"/>
  <c r="V15" i="30"/>
  <c r="V18" i="30"/>
  <c r="N22" i="30"/>
  <c r="L29" i="30"/>
  <c r="L14" i="31"/>
  <c r="N14" i="31" s="1"/>
  <c r="N16" i="31"/>
  <c r="Z21" i="31"/>
  <c r="Z43" i="31"/>
  <c r="L53" i="31"/>
  <c r="Z64" i="31"/>
  <c r="L66" i="31"/>
  <c r="N66" i="31" s="1"/>
  <c r="X72" i="31"/>
  <c r="L79" i="31"/>
  <c r="F21" i="32"/>
  <c r="F18" i="32"/>
  <c r="F36" i="32"/>
  <c r="F33" i="32"/>
  <c r="F29" i="32"/>
  <c r="F25" i="32"/>
  <c r="D18" i="32"/>
  <c r="F15" i="32"/>
  <c r="L12" i="32"/>
  <c r="F20" i="32"/>
  <c r="F16" i="32"/>
  <c r="X15" i="32"/>
  <c r="X25" i="32"/>
  <c r="R24" i="33"/>
  <c r="R21" i="33"/>
  <c r="R18" i="33"/>
  <c r="R36" i="33"/>
  <c r="R33" i="33"/>
  <c r="R29" i="33"/>
  <c r="R25" i="33"/>
  <c r="P18" i="33"/>
  <c r="R15" i="33"/>
  <c r="X12" i="33"/>
  <c r="R16" i="33"/>
  <c r="R22" i="33"/>
  <c r="R34" i="33"/>
  <c r="X20" i="34"/>
  <c r="Z20" i="34" s="1"/>
  <c r="X28" i="34"/>
  <c r="Z28" i="34" s="1"/>
  <c r="X38" i="34"/>
  <c r="Z38" i="34" s="1"/>
  <c r="L40" i="34"/>
  <c r="N40" i="34" s="1"/>
  <c r="Z43" i="34"/>
  <c r="N88" i="34"/>
  <c r="N107" i="34"/>
  <c r="X119" i="34"/>
  <c r="Z119" i="34" s="1"/>
  <c r="N123" i="34"/>
  <c r="L137" i="34"/>
  <c r="N137" i="34" s="1"/>
  <c r="N161" i="34"/>
  <c r="L24" i="35"/>
  <c r="R107" i="36"/>
  <c r="R96" i="36"/>
  <c r="R92" i="36"/>
  <c r="R85" i="36"/>
  <c r="R77" i="36"/>
  <c r="R68" i="36"/>
  <c r="R65" i="36"/>
  <c r="R60" i="36"/>
  <c r="R57" i="36"/>
  <c r="R52" i="36"/>
  <c r="R91" i="36"/>
  <c r="R51" i="36"/>
  <c r="R48" i="36"/>
  <c r="R43" i="36"/>
  <c r="R98" i="36"/>
  <c r="R95" i="36"/>
  <c r="R90" i="36"/>
  <c r="R74" i="36"/>
  <c r="R70" i="36"/>
  <c r="R67" i="36"/>
  <c r="R62" i="36"/>
  <c r="R59" i="36"/>
  <c r="R54" i="36"/>
  <c r="R42" i="36"/>
  <c r="R108" i="36"/>
  <c r="R101" i="36"/>
  <c r="R89" i="36"/>
  <c r="R81" i="36"/>
  <c r="R73" i="36"/>
  <c r="R50" i="36"/>
  <c r="R45" i="36"/>
  <c r="R41" i="36"/>
  <c r="R100" i="36"/>
  <c r="R97" i="36"/>
  <c r="R88" i="36"/>
  <c r="R84" i="36"/>
  <c r="R80" i="36"/>
  <c r="R76" i="36"/>
  <c r="R72" i="36"/>
  <c r="R69" i="36"/>
  <c r="R64" i="36"/>
  <c r="R61" i="36"/>
  <c r="R56" i="36"/>
  <c r="R53" i="36"/>
  <c r="R40" i="36"/>
  <c r="R36" i="36"/>
  <c r="R112" i="36"/>
  <c r="R99" i="36"/>
  <c r="R94" i="36"/>
  <c r="R86" i="36"/>
  <c r="R78" i="36"/>
  <c r="R75" i="36"/>
  <c r="R71" i="36"/>
  <c r="R66" i="36"/>
  <c r="R63" i="36"/>
  <c r="R58" i="36"/>
  <c r="R55" i="36"/>
  <c r="R38" i="36"/>
  <c r="R44" i="36"/>
  <c r="R39" i="36"/>
  <c r="R24" i="36"/>
  <c r="R83" i="36"/>
  <c r="P24" i="36"/>
  <c r="R35" i="36"/>
  <c r="R33" i="36"/>
  <c r="R32" i="36"/>
  <c r="R31" i="36"/>
  <c r="R106" i="36"/>
  <c r="R102" i="36"/>
  <c r="R79" i="36"/>
  <c r="R46" i="36"/>
  <c r="R34" i="36"/>
  <c r="R30" i="36"/>
  <c r="R22" i="36"/>
  <c r="R93" i="36"/>
  <c r="R87" i="36"/>
  <c r="R47" i="36"/>
  <c r="R37" i="36"/>
  <c r="R29" i="36"/>
  <c r="R26" i="36"/>
  <c r="R21" i="36"/>
  <c r="R103" i="36"/>
  <c r="R49" i="36"/>
  <c r="R20" i="36"/>
  <c r="Z13" i="36"/>
  <c r="X13" i="36"/>
  <c r="T12" i="36"/>
  <c r="L15" i="36"/>
  <c r="N15" i="36" s="1"/>
  <c r="N17" i="36"/>
  <c r="L17" i="36"/>
  <c r="R27" i="36"/>
  <c r="Z99" i="36"/>
  <c r="N20" i="38"/>
  <c r="L20" i="38"/>
  <c r="F88" i="39"/>
  <c r="N104" i="39"/>
  <c r="L104" i="39"/>
  <c r="Z47" i="42"/>
  <c r="X99" i="42"/>
  <c r="Z99" i="42" s="1"/>
  <c r="D31" i="44"/>
  <c r="V24" i="27"/>
  <c r="V25" i="29"/>
  <c r="N33" i="29"/>
  <c r="V22" i="30"/>
  <c r="V20" i="30"/>
  <c r="V16" i="30"/>
  <c r="Z12" i="30"/>
  <c r="V21" i="30"/>
  <c r="X34" i="30"/>
  <c r="Z20" i="31"/>
  <c r="N34" i="31"/>
  <c r="N53" i="31"/>
  <c r="N58" i="31"/>
  <c r="J36" i="32"/>
  <c r="J33" i="32"/>
  <c r="J29" i="32"/>
  <c r="J25" i="32"/>
  <c r="H18" i="32"/>
  <c r="J15" i="32"/>
  <c r="J22" i="32"/>
  <c r="N12" i="32"/>
  <c r="J24" i="32"/>
  <c r="X13" i="32"/>
  <c r="L20" i="32"/>
  <c r="J34" i="32"/>
  <c r="V18" i="33"/>
  <c r="V36" i="33"/>
  <c r="V33" i="33"/>
  <c r="V29" i="33"/>
  <c r="V25" i="33"/>
  <c r="T18" i="33"/>
  <c r="V15" i="33"/>
  <c r="V22" i="33"/>
  <c r="V34" i="33"/>
  <c r="V31" i="33"/>
  <c r="V27" i="33"/>
  <c r="Z24" i="33"/>
  <c r="X22" i="34"/>
  <c r="Z22" i="34" s="1"/>
  <c r="L24" i="34"/>
  <c r="N24" i="34" s="1"/>
  <c r="N26" i="34"/>
  <c r="L26" i="34"/>
  <c r="Z30" i="34"/>
  <c r="X30" i="34"/>
  <c r="L32" i="34"/>
  <c r="N34" i="34"/>
  <c r="L34" i="34"/>
  <c r="N47" i="34"/>
  <c r="N116" i="34"/>
  <c r="N121" i="34"/>
  <c r="N145" i="34"/>
  <c r="Z158" i="34"/>
  <c r="X163" i="34"/>
  <c r="Z163" i="34" s="1"/>
  <c r="Z18" i="36"/>
  <c r="Z27" i="36"/>
  <c r="X65" i="36"/>
  <c r="Z65" i="36" s="1"/>
  <c r="Z54" i="39"/>
  <c r="X54" i="39"/>
  <c r="N22" i="44"/>
  <c r="L22" i="44"/>
  <c r="N70" i="45"/>
  <c r="L70" i="45"/>
  <c r="F16" i="24"/>
  <c r="R22" i="24"/>
  <c r="J24" i="24"/>
  <c r="J27" i="26"/>
  <c r="J31" i="26"/>
  <c r="J34" i="26"/>
  <c r="Z12" i="27"/>
  <c r="F16" i="27"/>
  <c r="V16" i="27"/>
  <c r="R22" i="27"/>
  <c r="J24" i="27"/>
  <c r="Z12" i="29"/>
  <c r="F16" i="29"/>
  <c r="V18" i="29"/>
  <c r="J21" i="29"/>
  <c r="R24" i="29"/>
  <c r="V29" i="29"/>
  <c r="V31" i="29"/>
  <c r="V24" i="30"/>
  <c r="V31" i="30"/>
  <c r="V33" i="30"/>
  <c r="V34" i="30"/>
  <c r="H12" i="31"/>
  <c r="N13" i="31"/>
  <c r="N24" i="31"/>
  <c r="V21" i="32"/>
  <c r="V18" i="32"/>
  <c r="V36" i="32"/>
  <c r="V33" i="32"/>
  <c r="V29" i="32"/>
  <c r="V25" i="32"/>
  <c r="T18" i="32"/>
  <c r="V15" i="32"/>
  <c r="V20" i="32"/>
  <c r="V16" i="32"/>
  <c r="Z12" i="32"/>
  <c r="J20" i="32"/>
  <c r="F24" i="32"/>
  <c r="J31" i="32"/>
  <c r="Z14" i="34"/>
  <c r="X14" i="34"/>
  <c r="D12" i="34"/>
  <c r="L16" i="34"/>
  <c r="N16" i="34" s="1"/>
  <c r="Z19" i="34"/>
  <c r="N39" i="34"/>
  <c r="Z55" i="34"/>
  <c r="Z107" i="34"/>
  <c r="L119" i="34"/>
  <c r="N128" i="34"/>
  <c r="N134" i="34"/>
  <c r="Z142" i="34"/>
  <c r="R24" i="35"/>
  <c r="R21" i="35"/>
  <c r="R18" i="35"/>
  <c r="R36" i="35"/>
  <c r="R33" i="35"/>
  <c r="R29" i="35"/>
  <c r="R25" i="35"/>
  <c r="P18" i="35"/>
  <c r="R15" i="35"/>
  <c r="R22" i="35"/>
  <c r="R20" i="35"/>
  <c r="R16" i="35"/>
  <c r="N14" i="36"/>
  <c r="R82" i="36"/>
  <c r="Z85" i="36"/>
  <c r="X85" i="36"/>
  <c r="H97" i="42"/>
  <c r="P18" i="24"/>
  <c r="R25" i="24"/>
  <c r="J27" i="24"/>
  <c r="R29" i="24"/>
  <c r="J31" i="24"/>
  <c r="R33" i="24"/>
  <c r="J16" i="26"/>
  <c r="P18" i="27"/>
  <c r="R25" i="27"/>
  <c r="J27" i="27"/>
  <c r="R29" i="27"/>
  <c r="J31" i="27"/>
  <c r="R33" i="27"/>
  <c r="R15" i="29"/>
  <c r="D18" i="29"/>
  <c r="R20" i="29"/>
  <c r="V33" i="29"/>
  <c r="R34" i="29"/>
  <c r="V27" i="30"/>
  <c r="V29" i="30"/>
  <c r="Z34" i="31"/>
  <c r="X78" i="31"/>
  <c r="Z78" i="31" s="1"/>
  <c r="J18" i="32"/>
  <c r="J21" i="32"/>
  <c r="F22" i="32"/>
  <c r="F27" i="32"/>
  <c r="R20" i="33"/>
  <c r="N23" i="34"/>
  <c r="N31" i="34"/>
  <c r="Z116" i="34"/>
  <c r="N152" i="34"/>
  <c r="H12" i="36"/>
  <c r="F104" i="39"/>
  <c r="F93" i="39"/>
  <c r="F80" i="39"/>
  <c r="F77" i="39"/>
  <c r="F73" i="39"/>
  <c r="F68" i="39"/>
  <c r="F65" i="39"/>
  <c r="F56" i="39"/>
  <c r="F53" i="39"/>
  <c r="F45" i="39"/>
  <c r="F41" i="39"/>
  <c r="F109" i="39"/>
  <c r="F100" i="39"/>
  <c r="F92" i="39"/>
  <c r="F87" i="39"/>
  <c r="F84" i="39"/>
  <c r="F76" i="39"/>
  <c r="F64" i="39"/>
  <c r="F59" i="39"/>
  <c r="F40" i="39"/>
  <c r="F27" i="39"/>
  <c r="F103" i="39"/>
  <c r="F91" i="39"/>
  <c r="F83" i="39"/>
  <c r="F79" i="39"/>
  <c r="F75" i="39"/>
  <c r="F70" i="39"/>
  <c r="F67" i="39"/>
  <c r="F55" i="39"/>
  <c r="F50" i="39"/>
  <c r="F39" i="39"/>
  <c r="F34" i="39"/>
  <c r="F102" i="39"/>
  <c r="F97" i="39"/>
  <c r="F90" i="39"/>
  <c r="F86" i="39"/>
  <c r="F82" i="39"/>
  <c r="F61" i="39"/>
  <c r="F58" i="39"/>
  <c r="F38" i="39"/>
  <c r="F110" i="39"/>
  <c r="F105" i="39"/>
  <c r="F89" i="39"/>
  <c r="F81" i="39"/>
  <c r="F72" i="39"/>
  <c r="F69" i="39"/>
  <c r="F57" i="39"/>
  <c r="F52" i="39"/>
  <c r="F49" i="39"/>
  <c r="F44" i="39"/>
  <c r="F37" i="39"/>
  <c r="D31" i="39"/>
  <c r="F29" i="39"/>
  <c r="F108" i="39"/>
  <c r="F95" i="39"/>
  <c r="F78" i="39"/>
  <c r="F74" i="39"/>
  <c r="F71" i="39"/>
  <c r="F66" i="39"/>
  <c r="F54" i="39"/>
  <c r="F51" i="39"/>
  <c r="F47" i="39"/>
  <c r="F43" i="39"/>
  <c r="F35" i="39"/>
  <c r="F98" i="39"/>
  <c r="F96" i="39"/>
  <c r="F42" i="39"/>
  <c r="F36" i="39"/>
  <c r="F28" i="39"/>
  <c r="F48" i="39"/>
  <c r="F114" i="39"/>
  <c r="F60" i="39"/>
  <c r="F99" i="39"/>
  <c r="F85" i="39"/>
  <c r="F62" i="39"/>
  <c r="F46" i="39"/>
  <c r="L12" i="39"/>
  <c r="L68" i="39"/>
  <c r="N68" i="39" s="1"/>
  <c r="Z13" i="42"/>
  <c r="N29" i="44"/>
  <c r="L29" i="44"/>
  <c r="R27" i="30"/>
  <c r="R31" i="30"/>
  <c r="R34" i="30"/>
  <c r="R22" i="32"/>
  <c r="F27" i="33"/>
  <c r="F31" i="33"/>
  <c r="F34" i="33"/>
  <c r="V24" i="35"/>
  <c r="N37" i="36"/>
  <c r="N61" i="36"/>
  <c r="Z82" i="36"/>
  <c r="X99" i="36"/>
  <c r="J22" i="37"/>
  <c r="L22" i="38"/>
  <c r="N44" i="39"/>
  <c r="N50" i="39"/>
  <c r="V83" i="39"/>
  <c r="V85" i="39"/>
  <c r="V89" i="39"/>
  <c r="Z108" i="39"/>
  <c r="T107" i="39"/>
  <c r="X16" i="40"/>
  <c r="X13" i="42"/>
  <c r="P12" i="42"/>
  <c r="Z19" i="42"/>
  <c r="N25" i="42"/>
  <c r="N35" i="42"/>
  <c r="Z50" i="42"/>
  <c r="X75" i="42"/>
  <c r="Z75" i="42" s="1"/>
  <c r="Z91" i="42"/>
  <c r="N94" i="42"/>
  <c r="N13" i="47"/>
  <c r="L13" i="47"/>
  <c r="Z44" i="39"/>
  <c r="V67" i="39"/>
  <c r="Z72" i="39"/>
  <c r="V75" i="39"/>
  <c r="V103" i="39"/>
  <c r="R24" i="40"/>
  <c r="R21" i="40"/>
  <c r="R18" i="40"/>
  <c r="R36" i="40"/>
  <c r="R33" i="40"/>
  <c r="R29" i="40"/>
  <c r="R25" i="40"/>
  <c r="P18" i="40"/>
  <c r="R15" i="40"/>
  <c r="R22" i="40"/>
  <c r="R20" i="40"/>
  <c r="R16" i="40"/>
  <c r="Z26" i="42"/>
  <c r="N41" i="42"/>
  <c r="N52" i="42"/>
  <c r="Z56" i="42"/>
  <c r="N77" i="42"/>
  <c r="N81" i="45"/>
  <c r="F16" i="30"/>
  <c r="R22" i="30"/>
  <c r="P77" i="31"/>
  <c r="X77" i="31" s="1"/>
  <c r="R21" i="32"/>
  <c r="J16" i="33"/>
  <c r="F22" i="33"/>
  <c r="J27" i="35"/>
  <c r="J31" i="35"/>
  <c r="J34" i="35"/>
  <c r="Z37" i="36"/>
  <c r="X25" i="37"/>
  <c r="X29" i="37"/>
  <c r="X33" i="37"/>
  <c r="L16" i="38"/>
  <c r="N13" i="39"/>
  <c r="H12" i="39"/>
  <c r="Z16" i="39"/>
  <c r="Z17" i="39"/>
  <c r="Z24" i="39"/>
  <c r="Z25" i="39"/>
  <c r="V29" i="39"/>
  <c r="V37" i="39"/>
  <c r="V49" i="39"/>
  <c r="Z50" i="39"/>
  <c r="N56" i="39"/>
  <c r="V57" i="39"/>
  <c r="N66" i="39"/>
  <c r="N74" i="39"/>
  <c r="L29" i="41"/>
  <c r="V87" i="42"/>
  <c r="V83" i="42"/>
  <c r="V67" i="42"/>
  <c r="V63" i="42"/>
  <c r="V55" i="42"/>
  <c r="V43" i="42"/>
  <c r="V35" i="42"/>
  <c r="V31" i="42"/>
  <c r="V100" i="42"/>
  <c r="V90" i="42"/>
  <c r="V82" i="42"/>
  <c r="V74" i="42"/>
  <c r="V66" i="42"/>
  <c r="V62" i="42"/>
  <c r="V54" i="42"/>
  <c r="V46" i="42"/>
  <c r="V30" i="42"/>
  <c r="V93" i="42"/>
  <c r="V89" i="42"/>
  <c r="V81" i="42"/>
  <c r="V73" i="42"/>
  <c r="V69" i="42"/>
  <c r="V65" i="42"/>
  <c r="V57" i="42"/>
  <c r="V49" i="42"/>
  <c r="V45" i="42"/>
  <c r="V29" i="42"/>
  <c r="V25" i="42"/>
  <c r="V21" i="42"/>
  <c r="V98" i="42"/>
  <c r="V92" i="42"/>
  <c r="V80" i="42"/>
  <c r="V76" i="42"/>
  <c r="V72" i="42"/>
  <c r="V68" i="42"/>
  <c r="V64" i="42"/>
  <c r="V56" i="42"/>
  <c r="V48" i="42"/>
  <c r="V40" i="42"/>
  <c r="V28" i="42"/>
  <c r="V20" i="42"/>
  <c r="V95" i="42"/>
  <c r="V91" i="42"/>
  <c r="V79" i="42"/>
  <c r="V75" i="42"/>
  <c r="V71" i="42"/>
  <c r="V59" i="42"/>
  <c r="V51" i="42"/>
  <c r="V47" i="42"/>
  <c r="V39" i="42"/>
  <c r="V27" i="42"/>
  <c r="V19" i="42"/>
  <c r="V99" i="42"/>
  <c r="V85" i="42"/>
  <c r="V77" i="42"/>
  <c r="V61" i="42"/>
  <c r="V53" i="42"/>
  <c r="V41" i="42"/>
  <c r="V37" i="42"/>
  <c r="V33" i="42"/>
  <c r="L14" i="42"/>
  <c r="N14" i="42" s="1"/>
  <c r="Z17" i="42"/>
  <c r="V26" i="42"/>
  <c r="V34" i="42"/>
  <c r="N58" i="42"/>
  <c r="V60" i="42"/>
  <c r="V88" i="42"/>
  <c r="P31" i="43"/>
  <c r="V20" i="44"/>
  <c r="V16" i="44"/>
  <c r="Z12" i="44"/>
  <c r="V34" i="44"/>
  <c r="V31" i="44"/>
  <c r="V27" i="44"/>
  <c r="V36" i="44"/>
  <c r="V33" i="44"/>
  <c r="V29" i="44"/>
  <c r="V22" i="44"/>
  <c r="V18" i="44"/>
  <c r="T18" i="44"/>
  <c r="V25" i="44"/>
  <c r="V21" i="44"/>
  <c r="V24" i="44"/>
  <c r="V15" i="44"/>
  <c r="Z25" i="44"/>
  <c r="X25" i="44"/>
  <c r="N46" i="48"/>
  <c r="L46" i="48"/>
  <c r="R15" i="30"/>
  <c r="P18" i="30"/>
  <c r="R25" i="30"/>
  <c r="R29" i="30"/>
  <c r="R33" i="30"/>
  <c r="R24" i="32"/>
  <c r="L12" i="33"/>
  <c r="F15" i="33"/>
  <c r="D18" i="33"/>
  <c r="F25" i="33"/>
  <c r="F29" i="33"/>
  <c r="F33" i="33"/>
  <c r="F36" i="33"/>
  <c r="J16" i="35"/>
  <c r="V22" i="35"/>
  <c r="X37" i="36"/>
  <c r="Z46" i="36"/>
  <c r="Z48" i="36"/>
  <c r="L59" i="36"/>
  <c r="L67" i="36"/>
  <c r="N67" i="36" s="1"/>
  <c r="Z102" i="36"/>
  <c r="F20" i="38"/>
  <c r="F16" i="38"/>
  <c r="F34" i="38"/>
  <c r="F31" i="38"/>
  <c r="F27" i="38"/>
  <c r="F24" i="38"/>
  <c r="F21" i="38"/>
  <c r="F18" i="38"/>
  <c r="F22" i="38"/>
  <c r="P12" i="39"/>
  <c r="L19" i="39"/>
  <c r="L56" i="39"/>
  <c r="N70" i="39"/>
  <c r="Z78" i="39"/>
  <c r="X12" i="40"/>
  <c r="R27" i="40"/>
  <c r="L33" i="41"/>
  <c r="H12" i="42"/>
  <c r="Z41" i="42"/>
  <c r="Z77" i="42"/>
  <c r="L87" i="42"/>
  <c r="N87" i="42" s="1"/>
  <c r="V94" i="42"/>
  <c r="Z98" i="42"/>
  <c r="N20" i="44"/>
  <c r="L20" i="44"/>
  <c r="R27" i="32"/>
  <c r="R31" i="32"/>
  <c r="V25" i="35"/>
  <c r="V29" i="35"/>
  <c r="V33" i="35"/>
  <c r="X55" i="36"/>
  <c r="X63" i="36"/>
  <c r="X75" i="36"/>
  <c r="N95" i="36"/>
  <c r="J34" i="37"/>
  <c r="J31" i="37"/>
  <c r="J27" i="37"/>
  <c r="J24" i="37"/>
  <c r="J21" i="37"/>
  <c r="J18" i="37"/>
  <c r="J36" i="37"/>
  <c r="J33" i="37"/>
  <c r="J29" i="37"/>
  <c r="J25" i="37"/>
  <c r="H18" i="37"/>
  <c r="J15" i="37"/>
  <c r="Z15" i="37"/>
  <c r="T18" i="37"/>
  <c r="Z18" i="38"/>
  <c r="V114" i="39"/>
  <c r="V104" i="39"/>
  <c r="V96" i="39"/>
  <c r="V88" i="39"/>
  <c r="V80" i="39"/>
  <c r="V68" i="39"/>
  <c r="V60" i="39"/>
  <c r="V56" i="39"/>
  <c r="V48" i="39"/>
  <c r="V36" i="39"/>
  <c r="V28" i="39"/>
  <c r="V109" i="39"/>
  <c r="V95" i="39"/>
  <c r="V87" i="39"/>
  <c r="V71" i="39"/>
  <c r="V59" i="39"/>
  <c r="V51" i="39"/>
  <c r="V47" i="39"/>
  <c r="V43" i="39"/>
  <c r="V35" i="39"/>
  <c r="V27" i="39"/>
  <c r="V98" i="39"/>
  <c r="V94" i="39"/>
  <c r="V70" i="39"/>
  <c r="V62" i="39"/>
  <c r="V50" i="39"/>
  <c r="V46" i="39"/>
  <c r="V42" i="39"/>
  <c r="V34" i="39"/>
  <c r="V97" i="39"/>
  <c r="V93" i="39"/>
  <c r="V77" i="39"/>
  <c r="V73" i="39"/>
  <c r="V65" i="39"/>
  <c r="V61" i="39"/>
  <c r="V53" i="39"/>
  <c r="V45" i="39"/>
  <c r="V41" i="39"/>
  <c r="V31" i="39"/>
  <c r="V110" i="39"/>
  <c r="V100" i="39"/>
  <c r="V92" i="39"/>
  <c r="V84" i="39"/>
  <c r="V76" i="39"/>
  <c r="V72" i="39"/>
  <c r="V64" i="39"/>
  <c r="V52" i="39"/>
  <c r="V44" i="39"/>
  <c r="V40" i="39"/>
  <c r="T31" i="39"/>
  <c r="V108" i="39"/>
  <c r="V102" i="39"/>
  <c r="V90" i="39"/>
  <c r="V86" i="39"/>
  <c r="V82" i="39"/>
  <c r="V78" i="39"/>
  <c r="V74" i="39"/>
  <c r="V66" i="39"/>
  <c r="V58" i="39"/>
  <c r="V54" i="39"/>
  <c r="V38" i="39"/>
  <c r="V39" i="39"/>
  <c r="X52" i="39"/>
  <c r="Z66" i="39"/>
  <c r="Z74" i="39"/>
  <c r="L108" i="39"/>
  <c r="D107" i="39"/>
  <c r="L107" i="39" s="1"/>
  <c r="L24" i="40"/>
  <c r="L21" i="41"/>
  <c r="D12" i="42"/>
  <c r="T23" i="42"/>
  <c r="V70" i="42"/>
  <c r="J34" i="43"/>
  <c r="J31" i="43"/>
  <c r="J27" i="43"/>
  <c r="J24" i="43"/>
  <c r="J25" i="43"/>
  <c r="J21" i="43"/>
  <c r="J33" i="43"/>
  <c r="J18" i="43"/>
  <c r="H18" i="43"/>
  <c r="J15" i="43"/>
  <c r="J29" i="43"/>
  <c r="J22" i="43"/>
  <c r="R73" i="45"/>
  <c r="R70" i="45"/>
  <c r="R34" i="45"/>
  <c r="R29" i="45"/>
  <c r="P21" i="45"/>
  <c r="R85" i="45"/>
  <c r="R80" i="45"/>
  <c r="R65" i="45"/>
  <c r="R61" i="45"/>
  <c r="R56" i="45"/>
  <c r="R53" i="45"/>
  <c r="R48" i="45"/>
  <c r="R45" i="45"/>
  <c r="R40" i="45"/>
  <c r="R28" i="45"/>
  <c r="X12" i="45"/>
  <c r="R79" i="45"/>
  <c r="R72" i="45"/>
  <c r="R77" i="45"/>
  <c r="R69" i="45"/>
  <c r="R93" i="45"/>
  <c r="R87" i="45"/>
  <c r="R75" i="45"/>
  <c r="R71" i="45"/>
  <c r="R67" i="45"/>
  <c r="R63" i="45"/>
  <c r="R35" i="45"/>
  <c r="R31" i="45"/>
  <c r="R24" i="45"/>
  <c r="R86" i="45"/>
  <c r="R83" i="45"/>
  <c r="R74" i="45"/>
  <c r="R66" i="45"/>
  <c r="R62" i="45"/>
  <c r="R59" i="45"/>
  <c r="R54" i="45"/>
  <c r="R51" i="45"/>
  <c r="R46" i="45"/>
  <c r="R43" i="45"/>
  <c r="R30" i="45"/>
  <c r="R21" i="45"/>
  <c r="R76" i="45"/>
  <c r="R47" i="45"/>
  <c r="R36" i="45"/>
  <c r="R55" i="45"/>
  <c r="R37" i="45"/>
  <c r="R17" i="45"/>
  <c r="R19" i="45"/>
  <c r="R18" i="45"/>
  <c r="R89" i="45"/>
  <c r="R81" i="45"/>
  <c r="R39" i="45"/>
  <c r="R38" i="45"/>
  <c r="R57" i="45"/>
  <c r="R49" i="45"/>
  <c r="R41" i="45"/>
  <c r="R23" i="45"/>
  <c r="R84" i="45"/>
  <c r="R82" i="45"/>
  <c r="R68" i="45"/>
  <c r="R64" i="45"/>
  <c r="R44" i="45"/>
  <c r="R42" i="45"/>
  <c r="R32" i="45"/>
  <c r="Z24" i="45"/>
  <c r="R27" i="45"/>
  <c r="R33" i="45"/>
  <c r="Z55" i="36"/>
  <c r="L57" i="36"/>
  <c r="N57" i="36" s="1"/>
  <c r="Z59" i="36"/>
  <c r="Z63" i="36"/>
  <c r="L65" i="36"/>
  <c r="N65" i="36" s="1"/>
  <c r="X71" i="36"/>
  <c r="Z71" i="36" s="1"/>
  <c r="L77" i="36"/>
  <c r="N77" i="36" s="1"/>
  <c r="L85" i="36"/>
  <c r="N85" i="36" s="1"/>
  <c r="D105" i="36"/>
  <c r="L105" i="36" s="1"/>
  <c r="L107" i="36"/>
  <c r="L25" i="37"/>
  <c r="L29" i="37"/>
  <c r="L33" i="37"/>
  <c r="Z52" i="39"/>
  <c r="L54" i="39"/>
  <c r="N54" i="39" s="1"/>
  <c r="Z56" i="39"/>
  <c r="N80" i="39"/>
  <c r="N108" i="39"/>
  <c r="H107" i="39"/>
  <c r="X110" i="39"/>
  <c r="Z110" i="39" s="1"/>
  <c r="V36" i="41"/>
  <c r="V33" i="41"/>
  <c r="V29" i="41"/>
  <c r="V25" i="41"/>
  <c r="T18" i="41"/>
  <c r="V15" i="41"/>
  <c r="V22" i="41"/>
  <c r="V20" i="41"/>
  <c r="V16" i="41"/>
  <c r="Z12" i="41"/>
  <c r="V34" i="41"/>
  <c r="V31" i="41"/>
  <c r="V27" i="41"/>
  <c r="V21" i="41"/>
  <c r="X47" i="42"/>
  <c r="L99" i="42"/>
  <c r="N99" i="42" s="1"/>
  <c r="L33" i="44"/>
  <c r="L12" i="37"/>
  <c r="F15" i="37"/>
  <c r="D18" i="37"/>
  <c r="F25" i="37"/>
  <c r="V25" i="37"/>
  <c r="F29" i="37"/>
  <c r="V29" i="37"/>
  <c r="F33" i="37"/>
  <c r="V33" i="37"/>
  <c r="F36" i="37"/>
  <c r="V36" i="37"/>
  <c r="J16" i="38"/>
  <c r="J20" i="38"/>
  <c r="V22" i="38"/>
  <c r="Z14" i="39"/>
  <c r="J18" i="40"/>
  <c r="F24" i="40"/>
  <c r="V24" i="40"/>
  <c r="J15" i="41"/>
  <c r="H18" i="41"/>
  <c r="F21" i="41"/>
  <c r="J25" i="41"/>
  <c r="R27" i="41"/>
  <c r="J29" i="41"/>
  <c r="R31" i="41"/>
  <c r="J33" i="41"/>
  <c r="R34" i="41"/>
  <c r="J36" i="41"/>
  <c r="L12" i="43"/>
  <c r="F15" i="43"/>
  <c r="V15" i="43"/>
  <c r="D18" i="43"/>
  <c r="T18" i="43"/>
  <c r="X18" i="43" s="1"/>
  <c r="L24" i="43"/>
  <c r="V33" i="43"/>
  <c r="X34" i="43"/>
  <c r="H18" i="44"/>
  <c r="R21" i="44"/>
  <c r="J22" i="44"/>
  <c r="R25" i="44"/>
  <c r="J29" i="44"/>
  <c r="V80" i="45"/>
  <c r="V72" i="45"/>
  <c r="V56" i="45"/>
  <c r="V48" i="45"/>
  <c r="V40" i="45"/>
  <c r="V28" i="45"/>
  <c r="Z12" i="45"/>
  <c r="V89" i="45"/>
  <c r="V79" i="45"/>
  <c r="V55" i="45"/>
  <c r="V47" i="45"/>
  <c r="V39" i="45"/>
  <c r="V27" i="45"/>
  <c r="V23" i="45"/>
  <c r="V19" i="45"/>
  <c r="V82" i="45"/>
  <c r="V78" i="45"/>
  <c r="V58" i="45"/>
  <c r="V50" i="45"/>
  <c r="V42" i="45"/>
  <c r="V84" i="45"/>
  <c r="V76" i="45"/>
  <c r="V68" i="45"/>
  <c r="V64" i="45"/>
  <c r="V60" i="45"/>
  <c r="V52" i="45"/>
  <c r="V86" i="45"/>
  <c r="V74" i="45"/>
  <c r="V70" i="45"/>
  <c r="V66" i="45"/>
  <c r="V62" i="45"/>
  <c r="V54" i="45"/>
  <c r="V46" i="45"/>
  <c r="V34" i="45"/>
  <c r="V30" i="45"/>
  <c r="T21" i="45"/>
  <c r="V85" i="45"/>
  <c r="V73" i="45"/>
  <c r="V65" i="45"/>
  <c r="V61" i="45"/>
  <c r="V53" i="45"/>
  <c r="V45" i="45"/>
  <c r="V29" i="45"/>
  <c r="V26" i="45"/>
  <c r="V33" i="45"/>
  <c r="V35" i="45"/>
  <c r="N41" i="45"/>
  <c r="N49" i="45"/>
  <c r="N57" i="45"/>
  <c r="V75" i="45"/>
  <c r="Z39" i="48"/>
  <c r="N44" i="48"/>
  <c r="P61" i="57"/>
  <c r="F21" i="37"/>
  <c r="V21" i="37"/>
  <c r="R27" i="37"/>
  <c r="R31" i="37"/>
  <c r="R34" i="37"/>
  <c r="N12" i="38"/>
  <c r="V18" i="38"/>
  <c r="J22" i="38"/>
  <c r="R24" i="38"/>
  <c r="Z12" i="40"/>
  <c r="F16" i="40"/>
  <c r="V16" i="40"/>
  <c r="F20" i="40"/>
  <c r="V20" i="40"/>
  <c r="J24" i="40"/>
  <c r="X12" i="41"/>
  <c r="J21" i="41"/>
  <c r="F27" i="41"/>
  <c r="F31" i="41"/>
  <c r="F34" i="41"/>
  <c r="R36" i="43"/>
  <c r="R33" i="43"/>
  <c r="R29" i="43"/>
  <c r="R25" i="43"/>
  <c r="R22" i="43"/>
  <c r="F21" i="43"/>
  <c r="V25" i="43"/>
  <c r="R27" i="43"/>
  <c r="F20" i="44"/>
  <c r="F16" i="44"/>
  <c r="F34" i="44"/>
  <c r="F31" i="44"/>
  <c r="F27" i="44"/>
  <c r="R16" i="44"/>
  <c r="P18" i="44"/>
  <c r="J20" i="44"/>
  <c r="R27" i="44"/>
  <c r="D12" i="45"/>
  <c r="V63" i="45"/>
  <c r="V67" i="45"/>
  <c r="V83" i="45"/>
  <c r="Z41" i="48"/>
  <c r="X44" i="48"/>
  <c r="Z44" i="48" s="1"/>
  <c r="L16" i="51"/>
  <c r="N16" i="51" s="1"/>
  <c r="P105" i="36"/>
  <c r="X105" i="36" s="1"/>
  <c r="R16" i="37"/>
  <c r="R20" i="37"/>
  <c r="F24" i="37"/>
  <c r="V24" i="37"/>
  <c r="J15" i="38"/>
  <c r="H18" i="38"/>
  <c r="V21" i="38"/>
  <c r="J25" i="38"/>
  <c r="R27" i="38"/>
  <c r="J29" i="38"/>
  <c r="R31" i="38"/>
  <c r="J33" i="38"/>
  <c r="R34" i="38"/>
  <c r="J36" i="38"/>
  <c r="J27" i="40"/>
  <c r="J31" i="40"/>
  <c r="J34" i="40"/>
  <c r="J24" i="41"/>
  <c r="R16" i="43"/>
  <c r="R20" i="43"/>
  <c r="F25" i="43"/>
  <c r="V34" i="43"/>
  <c r="V36" i="43"/>
  <c r="J24" i="44"/>
  <c r="J21" i="44"/>
  <c r="J34" i="44"/>
  <c r="J15" i="44"/>
  <c r="R18" i="44"/>
  <c r="F25" i="44"/>
  <c r="R29" i="44"/>
  <c r="J36" i="44"/>
  <c r="N15" i="45"/>
  <c r="N17" i="45"/>
  <c r="Z23" i="45"/>
  <c r="V24" i="45"/>
  <c r="X41" i="45"/>
  <c r="Z41" i="45" s="1"/>
  <c r="Z57" i="45"/>
  <c r="V77" i="45"/>
  <c r="V93" i="45"/>
  <c r="V20" i="46"/>
  <c r="V16" i="46"/>
  <c r="Z12" i="46"/>
  <c r="V34" i="46"/>
  <c r="V31" i="46"/>
  <c r="V27" i="46"/>
  <c r="V21" i="46"/>
  <c r="V36" i="46"/>
  <c r="V33" i="46"/>
  <c r="V29" i="46"/>
  <c r="V25" i="46"/>
  <c r="T18" i="46"/>
  <c r="V15" i="46"/>
  <c r="V22" i="46"/>
  <c r="F52" i="48"/>
  <c r="F48" i="48"/>
  <c r="F45" i="48"/>
  <c r="F25" i="48"/>
  <c r="F20" i="48"/>
  <c r="F61" i="48"/>
  <c r="F55" i="48"/>
  <c r="F39" i="48"/>
  <c r="F36" i="48"/>
  <c r="F24" i="48"/>
  <c r="F17" i="48"/>
  <c r="F65" i="48"/>
  <c r="F51" i="48"/>
  <c r="F47" i="48"/>
  <c r="F35" i="48"/>
  <c r="F30" i="48"/>
  <c r="F23" i="48"/>
  <c r="D17" i="48"/>
  <c r="F57" i="48"/>
  <c r="F54" i="48"/>
  <c r="F50" i="48"/>
  <c r="F41" i="48"/>
  <c r="F38" i="48"/>
  <c r="F34" i="48"/>
  <c r="F22" i="48"/>
  <c r="F53" i="48"/>
  <c r="F49" i="48"/>
  <c r="F44" i="48"/>
  <c r="F33" i="48"/>
  <c r="F29" i="48"/>
  <c r="F21" i="48"/>
  <c r="F46" i="48"/>
  <c r="F43" i="48"/>
  <c r="F31" i="48"/>
  <c r="F27" i="48"/>
  <c r="F58" i="48"/>
  <c r="F42" i="48"/>
  <c r="F37" i="48"/>
  <c r="F26" i="48"/>
  <c r="F27" i="37"/>
  <c r="V27" i="37"/>
  <c r="F31" i="37"/>
  <c r="V31" i="37"/>
  <c r="F34" i="37"/>
  <c r="V34" i="37"/>
  <c r="J18" i="38"/>
  <c r="V24" i="38"/>
  <c r="J16" i="40"/>
  <c r="J20" i="40"/>
  <c r="F22" i="40"/>
  <c r="V22" i="40"/>
  <c r="R15" i="41"/>
  <c r="P18" i="41"/>
  <c r="R25" i="41"/>
  <c r="J27" i="41"/>
  <c r="R29" i="41"/>
  <c r="J31" i="41"/>
  <c r="R33" i="41"/>
  <c r="J34" i="41"/>
  <c r="X12" i="43"/>
  <c r="V27" i="43"/>
  <c r="F34" i="43"/>
  <c r="L12" i="44"/>
  <c r="L15" i="44"/>
  <c r="F21" i="44"/>
  <c r="H12" i="45"/>
  <c r="L13" i="45"/>
  <c r="X24" i="45"/>
  <c r="V38" i="45"/>
  <c r="V41" i="45"/>
  <c r="V49" i="45"/>
  <c r="V57" i="45"/>
  <c r="V87" i="45"/>
  <c r="L25" i="46"/>
  <c r="N22" i="47"/>
  <c r="L22" i="47"/>
  <c r="N13" i="48"/>
  <c r="L13" i="48"/>
  <c r="H12" i="48"/>
  <c r="Z61" i="48"/>
  <c r="T12" i="51"/>
  <c r="Z12" i="37"/>
  <c r="F16" i="37"/>
  <c r="V16" i="37"/>
  <c r="J21" i="38"/>
  <c r="V27" i="38"/>
  <c r="V31" i="38"/>
  <c r="F15" i="40"/>
  <c r="D18" i="40"/>
  <c r="F25" i="40"/>
  <c r="V25" i="40"/>
  <c r="F29" i="40"/>
  <c r="V29" i="40"/>
  <c r="F33" i="40"/>
  <c r="V33" i="40"/>
  <c r="F36" i="40"/>
  <c r="J16" i="41"/>
  <c r="J20" i="41"/>
  <c r="T97" i="42"/>
  <c r="V97" i="42" s="1"/>
  <c r="Z12" i="43"/>
  <c r="F16" i="43"/>
  <c r="V16" i="43"/>
  <c r="F20" i="43"/>
  <c r="V20" i="43"/>
  <c r="V22" i="43"/>
  <c r="R24" i="43"/>
  <c r="R31" i="43"/>
  <c r="F36" i="43"/>
  <c r="N12" i="44"/>
  <c r="X24" i="44"/>
  <c r="J25" i="44"/>
  <c r="X34" i="44"/>
  <c r="L24" i="45"/>
  <c r="N24" i="45" s="1"/>
  <c r="N59" i="45"/>
  <c r="V69" i="45"/>
  <c r="V81" i="45"/>
  <c r="N15" i="46"/>
  <c r="H18" i="46"/>
  <c r="X21" i="46"/>
  <c r="F32" i="48"/>
  <c r="Z55" i="48"/>
  <c r="R24" i="53"/>
  <c r="R21" i="53"/>
  <c r="R18" i="53"/>
  <c r="R36" i="53"/>
  <c r="R33" i="53"/>
  <c r="R29" i="53"/>
  <c r="R25" i="53"/>
  <c r="P18" i="53"/>
  <c r="R15" i="53"/>
  <c r="R22" i="53"/>
  <c r="X12" i="53"/>
  <c r="R34" i="53"/>
  <c r="R20" i="53"/>
  <c r="R31" i="53"/>
  <c r="R27" i="53"/>
  <c r="R16" i="53"/>
  <c r="F25" i="41"/>
  <c r="F29" i="41"/>
  <c r="F33" i="41"/>
  <c r="F22" i="43"/>
  <c r="F27" i="43"/>
  <c r="R22" i="44"/>
  <c r="X12" i="44"/>
  <c r="R36" i="44"/>
  <c r="R33" i="44"/>
  <c r="R15" i="44"/>
  <c r="J16" i="44"/>
  <c r="R20" i="44"/>
  <c r="R24" i="44"/>
  <c r="J27" i="44"/>
  <c r="F29" i="44"/>
  <c r="R34" i="44"/>
  <c r="Z17" i="45"/>
  <c r="N43" i="45"/>
  <c r="L43" i="45"/>
  <c r="J16" i="46"/>
  <c r="R18" i="46"/>
  <c r="J20" i="46"/>
  <c r="R15" i="47"/>
  <c r="P18" i="47"/>
  <c r="R25" i="47"/>
  <c r="J27" i="47"/>
  <c r="R29" i="47"/>
  <c r="J31" i="47"/>
  <c r="R33" i="47"/>
  <c r="J34" i="47"/>
  <c r="R36" i="47"/>
  <c r="R15" i="48"/>
  <c r="R19" i="48"/>
  <c r="V21" i="48"/>
  <c r="R22" i="48"/>
  <c r="V29" i="48"/>
  <c r="V33" i="48"/>
  <c r="R34" i="48"/>
  <c r="V37" i="48"/>
  <c r="R38" i="48"/>
  <c r="V49" i="48"/>
  <c r="R50" i="48"/>
  <c r="V53" i="48"/>
  <c r="R54" i="48"/>
  <c r="D60" i="48"/>
  <c r="L60" i="48" s="1"/>
  <c r="N60" i="48" s="1"/>
  <c r="T60" i="48"/>
  <c r="J18" i="49"/>
  <c r="J36" i="49"/>
  <c r="J33" i="49"/>
  <c r="J29" i="49"/>
  <c r="J25" i="49"/>
  <c r="H18" i="49"/>
  <c r="J22" i="49"/>
  <c r="J20" i="49"/>
  <c r="J16" i="49"/>
  <c r="J34" i="49"/>
  <c r="J31" i="49"/>
  <c r="J27" i="49"/>
  <c r="V16" i="49"/>
  <c r="V20" i="49"/>
  <c r="L24" i="49"/>
  <c r="V21" i="50"/>
  <c r="V18" i="50"/>
  <c r="V36" i="50"/>
  <c r="V33" i="50"/>
  <c r="V29" i="50"/>
  <c r="V25" i="50"/>
  <c r="T18" i="50"/>
  <c r="V15" i="50"/>
  <c r="V22" i="50"/>
  <c r="V20" i="50"/>
  <c r="V16" i="50"/>
  <c r="Z12" i="50"/>
  <c r="N24" i="50"/>
  <c r="L24" i="50"/>
  <c r="V27" i="50"/>
  <c r="N73" i="51"/>
  <c r="L73" i="51"/>
  <c r="Z82" i="51"/>
  <c r="Z94" i="51"/>
  <c r="X94" i="51"/>
  <c r="T91" i="51"/>
  <c r="Z34" i="53"/>
  <c r="X34" i="53"/>
  <c r="N28" i="54"/>
  <c r="H30" i="55"/>
  <c r="N16" i="55"/>
  <c r="Z28" i="57"/>
  <c r="L34" i="57"/>
  <c r="J58" i="58"/>
  <c r="R21" i="46"/>
  <c r="J16" i="47"/>
  <c r="R18" i="47"/>
  <c r="J20" i="47"/>
  <c r="V22" i="47"/>
  <c r="V22" i="48"/>
  <c r="R23" i="48"/>
  <c r="V34" i="48"/>
  <c r="R35" i="48"/>
  <c r="V38" i="48"/>
  <c r="R44" i="48"/>
  <c r="V46" i="48"/>
  <c r="R47" i="48"/>
  <c r="V50" i="48"/>
  <c r="R51" i="48"/>
  <c r="V54" i="48"/>
  <c r="V60" i="48"/>
  <c r="R65" i="48"/>
  <c r="L12" i="49"/>
  <c r="N34" i="49"/>
  <c r="L34" i="49"/>
  <c r="N21" i="50"/>
  <c r="L21" i="50"/>
  <c r="P12" i="51"/>
  <c r="X13" i="51"/>
  <c r="Z13" i="51" s="1"/>
  <c r="N17" i="51"/>
  <c r="Z28" i="51"/>
  <c r="L32" i="51"/>
  <c r="T22" i="54"/>
  <c r="Z16" i="54"/>
  <c r="L21" i="55"/>
  <c r="N21" i="55" s="1"/>
  <c r="N28" i="55"/>
  <c r="L28" i="55"/>
  <c r="Z46" i="58"/>
  <c r="X59" i="58"/>
  <c r="Z59" i="58" s="1"/>
  <c r="N29" i="59"/>
  <c r="N33" i="59"/>
  <c r="R27" i="46"/>
  <c r="R31" i="46"/>
  <c r="R34" i="46"/>
  <c r="R24" i="47"/>
  <c r="V24" i="48"/>
  <c r="R25" i="48"/>
  <c r="R30" i="48"/>
  <c r="V36" i="48"/>
  <c r="V44" i="48"/>
  <c r="R45" i="48"/>
  <c r="R20" i="49"/>
  <c r="R16" i="49"/>
  <c r="R34" i="49"/>
  <c r="R31" i="49"/>
  <c r="R27" i="49"/>
  <c r="R24" i="49"/>
  <c r="R21" i="49"/>
  <c r="R18" i="49"/>
  <c r="R36" i="49"/>
  <c r="R33" i="49"/>
  <c r="R29" i="49"/>
  <c r="R25" i="49"/>
  <c r="P18" i="49"/>
  <c r="Z17" i="51"/>
  <c r="N21" i="51"/>
  <c r="L25" i="51"/>
  <c r="Z63" i="51"/>
  <c r="N80" i="51"/>
  <c r="X13" i="52"/>
  <c r="Z16" i="52"/>
  <c r="X16" i="52"/>
  <c r="Z20" i="52"/>
  <c r="X20" i="52"/>
  <c r="V18" i="53"/>
  <c r="V36" i="53"/>
  <c r="V33" i="53"/>
  <c r="V29" i="53"/>
  <c r="V25" i="53"/>
  <c r="T18" i="53"/>
  <c r="V15" i="53"/>
  <c r="V22" i="53"/>
  <c r="V20" i="53"/>
  <c r="V16" i="53"/>
  <c r="Z12" i="53"/>
  <c r="V34" i="53"/>
  <c r="V31" i="53"/>
  <c r="V27" i="53"/>
  <c r="P16" i="54"/>
  <c r="R24" i="54"/>
  <c r="R31" i="54"/>
  <c r="R28" i="54"/>
  <c r="R22" i="54"/>
  <c r="R18" i="54"/>
  <c r="R14" i="54"/>
  <c r="X12" i="54"/>
  <c r="Z29" i="54"/>
  <c r="X29" i="54"/>
  <c r="H16" i="57"/>
  <c r="N14" i="57"/>
  <c r="N41" i="57"/>
  <c r="Z56" i="57"/>
  <c r="N37" i="59"/>
  <c r="H63" i="59"/>
  <c r="H18" i="47"/>
  <c r="V21" i="47"/>
  <c r="R27" i="47"/>
  <c r="R31" i="47"/>
  <c r="J33" i="47"/>
  <c r="R34" i="47"/>
  <c r="J36" i="47"/>
  <c r="R17" i="48"/>
  <c r="V25" i="48"/>
  <c r="R26" i="48"/>
  <c r="R39" i="48"/>
  <c r="V41" i="48"/>
  <c r="R42" i="48"/>
  <c r="V45" i="48"/>
  <c r="R55" i="48"/>
  <c r="V57" i="48"/>
  <c r="R58" i="48"/>
  <c r="R61" i="48"/>
  <c r="V24" i="49"/>
  <c r="V21" i="49"/>
  <c r="V18" i="49"/>
  <c r="V36" i="49"/>
  <c r="V33" i="49"/>
  <c r="V29" i="49"/>
  <c r="V25" i="49"/>
  <c r="T18" i="49"/>
  <c r="V15" i="49"/>
  <c r="V22" i="49"/>
  <c r="V34" i="49"/>
  <c r="Z16" i="50"/>
  <c r="X16" i="50"/>
  <c r="L94" i="51"/>
  <c r="D91" i="51"/>
  <c r="L91" i="51" s="1"/>
  <c r="V21" i="52"/>
  <c r="V18" i="52"/>
  <c r="V36" i="52"/>
  <c r="V33" i="52"/>
  <c r="V29" i="52"/>
  <c r="V25" i="52"/>
  <c r="T18" i="52"/>
  <c r="V15" i="52"/>
  <c r="V22" i="52"/>
  <c r="V20" i="52"/>
  <c r="V16" i="52"/>
  <c r="Z12" i="52"/>
  <c r="N24" i="52"/>
  <c r="L24" i="52"/>
  <c r="N21" i="53"/>
  <c r="L21" i="53"/>
  <c r="P56" i="59"/>
  <c r="Z16" i="60"/>
  <c r="T46" i="60"/>
  <c r="Z18" i="61"/>
  <c r="X18" i="61"/>
  <c r="Z43" i="61"/>
  <c r="X43" i="61"/>
  <c r="X44" i="62"/>
  <c r="Z44" i="62" s="1"/>
  <c r="X49" i="45"/>
  <c r="Z49" i="45" s="1"/>
  <c r="L51" i="45"/>
  <c r="X57" i="45"/>
  <c r="L59" i="45"/>
  <c r="X81" i="45"/>
  <c r="Z81" i="45" s="1"/>
  <c r="L83" i="45"/>
  <c r="X12" i="46"/>
  <c r="X24" i="46"/>
  <c r="L15" i="47"/>
  <c r="R16" i="47"/>
  <c r="R20" i="47"/>
  <c r="X21" i="47"/>
  <c r="V24" i="47"/>
  <c r="L25" i="47"/>
  <c r="L29" i="47"/>
  <c r="L33" i="47"/>
  <c r="L15" i="48"/>
  <c r="T17" i="48"/>
  <c r="L19" i="48"/>
  <c r="N19" i="48" s="1"/>
  <c r="R20" i="48"/>
  <c r="V26" i="48"/>
  <c r="R27" i="48"/>
  <c r="V30" i="48"/>
  <c r="R31" i="48"/>
  <c r="X41" i="48"/>
  <c r="V42" i="48"/>
  <c r="R43" i="48"/>
  <c r="R48" i="48"/>
  <c r="R52" i="48"/>
  <c r="X57" i="48"/>
  <c r="V58" i="48"/>
  <c r="X12" i="49"/>
  <c r="Z21" i="51"/>
  <c r="Z69" i="51"/>
  <c r="N71" i="51"/>
  <c r="N92" i="51"/>
  <c r="H91" i="51"/>
  <c r="L92" i="51"/>
  <c r="N94" i="51"/>
  <c r="X12" i="52"/>
  <c r="V27" i="52"/>
  <c r="H27" i="53"/>
  <c r="N18" i="57"/>
  <c r="J63" i="58"/>
  <c r="J57" i="58"/>
  <c r="J53" i="58"/>
  <c r="J41" i="58"/>
  <c r="J25" i="58"/>
  <c r="J19" i="58"/>
  <c r="J60" i="58"/>
  <c r="J56" i="58"/>
  <c r="J46" i="58"/>
  <c r="J38" i="58"/>
  <c r="J30" i="58"/>
  <c r="J24" i="58"/>
  <c r="J16" i="58"/>
  <c r="J55" i="58"/>
  <c r="J49" i="58"/>
  <c r="J43" i="58"/>
  <c r="J35" i="58"/>
  <c r="J23" i="58"/>
  <c r="H16" i="58"/>
  <c r="L16" i="58" s="1"/>
  <c r="J72" i="58"/>
  <c r="J66" i="58"/>
  <c r="J62" i="58"/>
  <c r="J52" i="58"/>
  <c r="J40" i="58"/>
  <c r="J34" i="58"/>
  <c r="J22" i="58"/>
  <c r="J59" i="58"/>
  <c r="J45" i="58"/>
  <c r="J37" i="58"/>
  <c r="J33" i="58"/>
  <c r="J29" i="58"/>
  <c r="J21" i="58"/>
  <c r="J70" i="58"/>
  <c r="J64" i="58"/>
  <c r="J54" i="58"/>
  <c r="J48" i="58"/>
  <c r="J42" i="58"/>
  <c r="J32" i="58"/>
  <c r="J28" i="58"/>
  <c r="J20" i="58"/>
  <c r="J18" i="58"/>
  <c r="J14" i="58"/>
  <c r="N12" i="58"/>
  <c r="J61" i="58"/>
  <c r="J51" i="58"/>
  <c r="J47" i="58"/>
  <c r="J39" i="58"/>
  <c r="J31" i="58"/>
  <c r="J27" i="58"/>
  <c r="L12" i="58"/>
  <c r="Z40" i="58"/>
  <c r="X37" i="59"/>
  <c r="Z37" i="59" s="1"/>
  <c r="N44" i="60"/>
  <c r="L44" i="60"/>
  <c r="F16" i="46"/>
  <c r="R22" i="46"/>
  <c r="J24" i="46"/>
  <c r="X12" i="47"/>
  <c r="J21" i="47"/>
  <c r="F27" i="47"/>
  <c r="V27" i="47"/>
  <c r="F31" i="47"/>
  <c r="V31" i="47"/>
  <c r="F34" i="47"/>
  <c r="V34" i="47"/>
  <c r="X12" i="48"/>
  <c r="Z12" i="48" s="1"/>
  <c r="V17" i="48"/>
  <c r="V27" i="48"/>
  <c r="R28" i="48"/>
  <c r="V31" i="48"/>
  <c r="R32" i="48"/>
  <c r="R37" i="48"/>
  <c r="V39" i="48"/>
  <c r="R40" i="48"/>
  <c r="V43" i="48"/>
  <c r="V55" i="48"/>
  <c r="R56" i="48"/>
  <c r="P60" i="48"/>
  <c r="X60" i="48" s="1"/>
  <c r="V61" i="48"/>
  <c r="Z12" i="49"/>
  <c r="X15" i="49"/>
  <c r="X16" i="49"/>
  <c r="X20" i="49"/>
  <c r="R22" i="49"/>
  <c r="Z20" i="50"/>
  <c r="X20" i="50"/>
  <c r="V34" i="50"/>
  <c r="L24" i="51"/>
  <c r="N24" i="51" s="1"/>
  <c r="Z35" i="51"/>
  <c r="X80" i="51"/>
  <c r="Z80" i="51" s="1"/>
  <c r="L82" i="51"/>
  <c r="N82" i="51" s="1"/>
  <c r="D22" i="54"/>
  <c r="L16" i="54"/>
  <c r="R20" i="54"/>
  <c r="H65" i="56"/>
  <c r="N16" i="56"/>
  <c r="N19" i="56"/>
  <c r="N47" i="57"/>
  <c r="Z19" i="59"/>
  <c r="R15" i="46"/>
  <c r="P18" i="46"/>
  <c r="R25" i="46"/>
  <c r="J27" i="46"/>
  <c r="R29" i="46"/>
  <c r="J31" i="46"/>
  <c r="R33" i="46"/>
  <c r="Z12" i="47"/>
  <c r="F16" i="47"/>
  <c r="V16" i="47"/>
  <c r="X17" i="48"/>
  <c r="V20" i="48"/>
  <c r="R21" i="48"/>
  <c r="V28" i="48"/>
  <c r="R29" i="48"/>
  <c r="V32" i="48"/>
  <c r="R33" i="48"/>
  <c r="V40" i="48"/>
  <c r="R46" i="48"/>
  <c r="V48" i="48"/>
  <c r="R49" i="48"/>
  <c r="V52" i="48"/>
  <c r="R53" i="48"/>
  <c r="F24" i="49"/>
  <c r="F21" i="49"/>
  <c r="F18" i="49"/>
  <c r="F36" i="49"/>
  <c r="F33" i="49"/>
  <c r="F29" i="49"/>
  <c r="F25" i="49"/>
  <c r="D18" i="49"/>
  <c r="F22" i="49"/>
  <c r="R15" i="49"/>
  <c r="V27" i="49"/>
  <c r="Z20" i="51"/>
  <c r="Z29" i="51"/>
  <c r="Z53" i="51"/>
  <c r="X71" i="51"/>
  <c r="Z71" i="51" s="1"/>
  <c r="N86" i="51"/>
  <c r="L86" i="51"/>
  <c r="V24" i="52"/>
  <c r="V34" i="52"/>
  <c r="V21" i="53"/>
  <c r="V24" i="53"/>
  <c r="H26" i="54"/>
  <c r="N22" i="54"/>
  <c r="Z20" i="54"/>
  <c r="X20" i="54"/>
  <c r="V21" i="55"/>
  <c r="T16" i="55"/>
  <c r="V24" i="55"/>
  <c r="V23" i="55"/>
  <c r="V37" i="55"/>
  <c r="V32" i="55"/>
  <c r="V30" i="55"/>
  <c r="V26" i="55"/>
  <c r="V18" i="55"/>
  <c r="V14" i="55"/>
  <c r="V25" i="55"/>
  <c r="V20" i="55"/>
  <c r="Z12" i="55"/>
  <c r="X19" i="55"/>
  <c r="Z19" i="55" s="1"/>
  <c r="N18" i="56"/>
  <c r="Z19" i="57"/>
  <c r="X28" i="57"/>
  <c r="X32" i="57"/>
  <c r="Z32" i="57" s="1"/>
  <c r="J68" i="58"/>
  <c r="J75" i="58"/>
  <c r="V60" i="59"/>
  <c r="V54" i="59"/>
  <c r="V47" i="59"/>
  <c r="V39" i="59"/>
  <c r="V50" i="59"/>
  <c r="V46" i="59"/>
  <c r="V63" i="59"/>
  <c r="V58" i="59"/>
  <c r="V56" i="59"/>
  <c r="V52" i="59"/>
  <c r="V33" i="59"/>
  <c r="V29" i="59"/>
  <c r="V25" i="59"/>
  <c r="T16" i="59"/>
  <c r="X16" i="59" s="1"/>
  <c r="V24" i="59"/>
  <c r="V51" i="59"/>
  <c r="V42" i="59"/>
  <c r="V41" i="59"/>
  <c r="V36" i="59"/>
  <c r="V35" i="59"/>
  <c r="V23" i="59"/>
  <c r="V49" i="59"/>
  <c r="V43" i="59"/>
  <c r="V40" i="59"/>
  <c r="V22" i="59"/>
  <c r="V18" i="59"/>
  <c r="V14" i="59"/>
  <c r="V21" i="59"/>
  <c r="V32" i="59"/>
  <c r="V28" i="59"/>
  <c r="V20" i="59"/>
  <c r="Z12" i="59"/>
  <c r="V38" i="59"/>
  <c r="V37" i="59"/>
  <c r="V31" i="59"/>
  <c r="V27" i="59"/>
  <c r="V19" i="59"/>
  <c r="X12" i="59"/>
  <c r="Z18" i="59"/>
  <c r="V48" i="59"/>
  <c r="J36" i="80"/>
  <c r="J30" i="80"/>
  <c r="J27" i="80"/>
  <c r="J19" i="80"/>
  <c r="J34" i="80"/>
  <c r="J32" i="80"/>
  <c r="J24" i="80"/>
  <c r="J16" i="80"/>
  <c r="J21" i="80"/>
  <c r="H16" i="80"/>
  <c r="J26" i="80"/>
  <c r="J25" i="80"/>
  <c r="L12" i="80"/>
  <c r="J18" i="80"/>
  <c r="J14" i="80"/>
  <c r="J20" i="80"/>
  <c r="J28" i="80"/>
  <c r="J39" i="80"/>
  <c r="J23" i="80"/>
  <c r="J22" i="80"/>
  <c r="N12" i="80"/>
  <c r="F26" i="56"/>
  <c r="F30" i="56"/>
  <c r="F54" i="56"/>
  <c r="F65" i="56"/>
  <c r="F72" i="56"/>
  <c r="R22" i="60"/>
  <c r="R50" i="60"/>
  <c r="R44" i="60"/>
  <c r="R33" i="60"/>
  <c r="R30" i="60"/>
  <c r="R21" i="60"/>
  <c r="R18" i="60"/>
  <c r="R14" i="60"/>
  <c r="R40" i="60"/>
  <c r="R36" i="60"/>
  <c r="R20" i="60"/>
  <c r="X12" i="60"/>
  <c r="R39" i="60"/>
  <c r="R35" i="60"/>
  <c r="R32" i="60"/>
  <c r="R27" i="60"/>
  <c r="R48" i="60"/>
  <c r="R42" i="60"/>
  <c r="R53" i="60"/>
  <c r="R46" i="60"/>
  <c r="R34" i="60"/>
  <c r="R29" i="60"/>
  <c r="R25" i="60"/>
  <c r="R16" i="60"/>
  <c r="Z28" i="60"/>
  <c r="X34" i="61"/>
  <c r="Z34" i="61" s="1"/>
  <c r="Z19" i="62"/>
  <c r="L46" i="62"/>
  <c r="N46" i="62" s="1"/>
  <c r="Z56" i="62"/>
  <c r="X56" i="62"/>
  <c r="N93" i="62"/>
  <c r="X13" i="64"/>
  <c r="Z13" i="64" s="1"/>
  <c r="P12" i="64"/>
  <c r="F16" i="50"/>
  <c r="F20" i="50"/>
  <c r="R22" i="50"/>
  <c r="J24" i="50"/>
  <c r="F16" i="52"/>
  <c r="F20" i="52"/>
  <c r="R22" i="52"/>
  <c r="J24" i="52"/>
  <c r="J21" i="53"/>
  <c r="F27" i="53"/>
  <c r="F31" i="53"/>
  <c r="F34" i="53"/>
  <c r="F16" i="54"/>
  <c r="V16" i="54"/>
  <c r="F20" i="54"/>
  <c r="V20" i="54"/>
  <c r="J24" i="54"/>
  <c r="F26" i="54"/>
  <c r="V26" i="54"/>
  <c r="V29" i="54"/>
  <c r="R14" i="55"/>
  <c r="J16" i="55"/>
  <c r="R18" i="55"/>
  <c r="J24" i="55"/>
  <c r="J28" i="55"/>
  <c r="R30" i="55"/>
  <c r="J34" i="55"/>
  <c r="R37" i="55"/>
  <c r="F14" i="56"/>
  <c r="V14" i="56"/>
  <c r="F18" i="56"/>
  <c r="V18" i="56"/>
  <c r="V22" i="56"/>
  <c r="R23" i="56"/>
  <c r="J26" i="56"/>
  <c r="F27" i="56"/>
  <c r="R28" i="56"/>
  <c r="J30" i="56"/>
  <c r="F31" i="56"/>
  <c r="R32" i="56"/>
  <c r="F34" i="56"/>
  <c r="V34" i="56"/>
  <c r="R35" i="56"/>
  <c r="J36" i="56"/>
  <c r="F39" i="56"/>
  <c r="R40" i="56"/>
  <c r="F42" i="56"/>
  <c r="V42" i="56"/>
  <c r="R43" i="56"/>
  <c r="J44" i="56"/>
  <c r="F47" i="56"/>
  <c r="F51" i="56"/>
  <c r="J54" i="56"/>
  <c r="F58" i="56"/>
  <c r="V58" i="56"/>
  <c r="R59" i="56"/>
  <c r="J60" i="56"/>
  <c r="D16" i="57"/>
  <c r="T16" i="57"/>
  <c r="X16" i="57" s="1"/>
  <c r="R19" i="57"/>
  <c r="J21" i="57"/>
  <c r="F22" i="57"/>
  <c r="V25" i="57"/>
  <c r="R26" i="57"/>
  <c r="V29" i="57"/>
  <c r="R30" i="57"/>
  <c r="V33" i="57"/>
  <c r="J37" i="57"/>
  <c r="F41" i="57"/>
  <c r="V41" i="57"/>
  <c r="R42" i="57"/>
  <c r="J43" i="57"/>
  <c r="V45" i="57"/>
  <c r="R46" i="57"/>
  <c r="J47" i="57"/>
  <c r="F50" i="57"/>
  <c r="J53" i="57"/>
  <c r="V57" i="57"/>
  <c r="F61" i="57"/>
  <c r="V61" i="57"/>
  <c r="V63" i="57"/>
  <c r="F68" i="57"/>
  <c r="V68" i="57"/>
  <c r="R16" i="58"/>
  <c r="F21" i="58"/>
  <c r="V24" i="58"/>
  <c r="R25" i="58"/>
  <c r="F29" i="58"/>
  <c r="R30" i="58"/>
  <c r="F33" i="58"/>
  <c r="F37" i="58"/>
  <c r="R38" i="58"/>
  <c r="F40" i="58"/>
  <c r="V40" i="58"/>
  <c r="R41" i="58"/>
  <c r="F45" i="58"/>
  <c r="R46" i="58"/>
  <c r="F52" i="58"/>
  <c r="V52" i="58"/>
  <c r="R53" i="58"/>
  <c r="V56" i="58"/>
  <c r="R57" i="58"/>
  <c r="V60" i="58"/>
  <c r="F66" i="58"/>
  <c r="V66" i="58"/>
  <c r="F72" i="58"/>
  <c r="V72" i="58"/>
  <c r="R14" i="59"/>
  <c r="J16" i="59"/>
  <c r="R18" i="59"/>
  <c r="R21" i="59"/>
  <c r="J24" i="59"/>
  <c r="F25" i="59"/>
  <c r="R46" i="59"/>
  <c r="R49" i="59"/>
  <c r="R50" i="59"/>
  <c r="R52" i="59"/>
  <c r="F18" i="60"/>
  <c r="F20" i="60"/>
  <c r="R26" i="60"/>
  <c r="J35" i="60"/>
  <c r="R38" i="60"/>
  <c r="J42" i="60"/>
  <c r="Z28" i="61"/>
  <c r="N17" i="62"/>
  <c r="H99" i="62"/>
  <c r="Z41" i="62"/>
  <c r="L58" i="62"/>
  <c r="N58" i="62" s="1"/>
  <c r="Z62" i="62"/>
  <c r="N96" i="62"/>
  <c r="Z97" i="62"/>
  <c r="X14" i="69"/>
  <c r="Z14" i="69" s="1"/>
  <c r="P12" i="69"/>
  <c r="P18" i="50"/>
  <c r="R25" i="50"/>
  <c r="J27" i="50"/>
  <c r="R29" i="50"/>
  <c r="J31" i="50"/>
  <c r="R33" i="50"/>
  <c r="J34" i="50"/>
  <c r="R36" i="50"/>
  <c r="D12" i="51"/>
  <c r="R25" i="52"/>
  <c r="J27" i="52"/>
  <c r="R29" i="52"/>
  <c r="J31" i="52"/>
  <c r="R33" i="52"/>
  <c r="J34" i="52"/>
  <c r="R36" i="52"/>
  <c r="F22" i="55"/>
  <c r="R23" i="55"/>
  <c r="F25" i="55"/>
  <c r="R26" i="55"/>
  <c r="R32" i="55"/>
  <c r="L12" i="56"/>
  <c r="X14" i="56"/>
  <c r="X18" i="56"/>
  <c r="Z18" i="56" s="1"/>
  <c r="F20" i="56"/>
  <c r="V23" i="56"/>
  <c r="X34" i="56"/>
  <c r="Z34" i="56" s="1"/>
  <c r="V35" i="56"/>
  <c r="L36" i="56"/>
  <c r="J39" i="56"/>
  <c r="X42" i="56"/>
  <c r="Z42" i="56" s="1"/>
  <c r="V43" i="56"/>
  <c r="L44" i="56"/>
  <c r="N44" i="56" s="1"/>
  <c r="J47" i="56"/>
  <c r="F48" i="56"/>
  <c r="J51" i="56"/>
  <c r="F52" i="56"/>
  <c r="R53" i="56"/>
  <c r="F55" i="56"/>
  <c r="V55" i="56"/>
  <c r="R56" i="56"/>
  <c r="X58" i="56"/>
  <c r="Z58" i="56" s="1"/>
  <c r="V59" i="56"/>
  <c r="L60" i="56"/>
  <c r="R63" i="56"/>
  <c r="J65" i="56"/>
  <c r="R69" i="56"/>
  <c r="J72" i="56"/>
  <c r="F16" i="57"/>
  <c r="V16" i="57"/>
  <c r="F23" i="57"/>
  <c r="V26" i="57"/>
  <c r="V30" i="57"/>
  <c r="F35" i="57"/>
  <c r="F38" i="57"/>
  <c r="V38" i="57"/>
  <c r="X41" i="57"/>
  <c r="Z41" i="57" s="1"/>
  <c r="V42" i="57"/>
  <c r="L43" i="57"/>
  <c r="N43" i="57" s="1"/>
  <c r="V46" i="57"/>
  <c r="L47" i="57"/>
  <c r="J50" i="57"/>
  <c r="F51" i="57"/>
  <c r="R52" i="57"/>
  <c r="F54" i="57"/>
  <c r="V54" i="57"/>
  <c r="R55" i="57"/>
  <c r="J56" i="57"/>
  <c r="L14" i="58"/>
  <c r="L18" i="58"/>
  <c r="N18" i="58" s="1"/>
  <c r="R19" i="58"/>
  <c r="R26" i="58"/>
  <c r="X40" i="58"/>
  <c r="L42" i="58"/>
  <c r="N42" i="58" s="1"/>
  <c r="F49" i="58"/>
  <c r="V49" i="58"/>
  <c r="R50" i="58"/>
  <c r="X52" i="58"/>
  <c r="Z52" i="58" s="1"/>
  <c r="V53" i="58"/>
  <c r="L54" i="58"/>
  <c r="N54" i="58" s="1"/>
  <c r="V57" i="58"/>
  <c r="R58" i="58"/>
  <c r="F62" i="58"/>
  <c r="R63" i="58"/>
  <c r="X66" i="58"/>
  <c r="P68" i="58"/>
  <c r="F60" i="59"/>
  <c r="F54" i="59"/>
  <c r="F58" i="59"/>
  <c r="F52" i="59"/>
  <c r="F39" i="59"/>
  <c r="F36" i="59"/>
  <c r="F46" i="59"/>
  <c r="F43" i="59"/>
  <c r="F63" i="59"/>
  <c r="F56" i="59"/>
  <c r="F26" i="59"/>
  <c r="F30" i="59"/>
  <c r="F34" i="59"/>
  <c r="Z49" i="59"/>
  <c r="R51" i="59"/>
  <c r="X14" i="60"/>
  <c r="N18" i="60"/>
  <c r="X28" i="60"/>
  <c r="R37" i="60"/>
  <c r="H45" i="61"/>
  <c r="N16" i="61"/>
  <c r="N31" i="62"/>
  <c r="J16" i="50"/>
  <c r="J20" i="50"/>
  <c r="F22" i="50"/>
  <c r="H12" i="51"/>
  <c r="J16" i="52"/>
  <c r="R18" i="52"/>
  <c r="J20" i="52"/>
  <c r="F22" i="52"/>
  <c r="J27" i="53"/>
  <c r="J31" i="53"/>
  <c r="J34" i="53"/>
  <c r="J16" i="54"/>
  <c r="J20" i="54"/>
  <c r="J26" i="54"/>
  <c r="J29" i="54"/>
  <c r="F14" i="55"/>
  <c r="F18" i="55"/>
  <c r="J22" i="55"/>
  <c r="F30" i="55"/>
  <c r="F37" i="55"/>
  <c r="R16" i="56"/>
  <c r="J20" i="56"/>
  <c r="F21" i="56"/>
  <c r="V24" i="56"/>
  <c r="R25" i="56"/>
  <c r="F28" i="56"/>
  <c r="V28" i="56"/>
  <c r="R29" i="56"/>
  <c r="F32" i="56"/>
  <c r="V32" i="56"/>
  <c r="R33" i="56"/>
  <c r="J34" i="56"/>
  <c r="F37" i="56"/>
  <c r="R38" i="56"/>
  <c r="F40" i="56"/>
  <c r="V40" i="56"/>
  <c r="R41" i="56"/>
  <c r="J42" i="56"/>
  <c r="F45" i="56"/>
  <c r="R46" i="56"/>
  <c r="J48" i="56"/>
  <c r="F49" i="56"/>
  <c r="R50" i="56"/>
  <c r="J52" i="56"/>
  <c r="V56" i="56"/>
  <c r="R57" i="56"/>
  <c r="J58" i="56"/>
  <c r="F61" i="56"/>
  <c r="F67" i="56"/>
  <c r="X12" i="57"/>
  <c r="F19" i="57"/>
  <c r="V19" i="57"/>
  <c r="J23" i="57"/>
  <c r="F24" i="57"/>
  <c r="V27" i="57"/>
  <c r="V31" i="57"/>
  <c r="J35" i="57"/>
  <c r="V39" i="57"/>
  <c r="R40" i="57"/>
  <c r="J41" i="57"/>
  <c r="F44" i="57"/>
  <c r="F48" i="57"/>
  <c r="R49" i="57"/>
  <c r="J51" i="57"/>
  <c r="V55" i="57"/>
  <c r="R59" i="57"/>
  <c r="J61" i="57"/>
  <c r="R65" i="57"/>
  <c r="J68" i="57"/>
  <c r="F16" i="58"/>
  <c r="V16" i="58"/>
  <c r="F23" i="58"/>
  <c r="V26" i="58"/>
  <c r="R27" i="58"/>
  <c r="F30" i="58"/>
  <c r="V30" i="58"/>
  <c r="R31" i="58"/>
  <c r="F35" i="58"/>
  <c r="R36" i="58"/>
  <c r="F38" i="58"/>
  <c r="V38" i="58"/>
  <c r="R39" i="58"/>
  <c r="F43" i="58"/>
  <c r="R44" i="58"/>
  <c r="F46" i="58"/>
  <c r="V46" i="58"/>
  <c r="R47" i="58"/>
  <c r="V50" i="58"/>
  <c r="R51" i="58"/>
  <c r="F55" i="58"/>
  <c r="V58" i="58"/>
  <c r="R68" i="58"/>
  <c r="R75" i="58"/>
  <c r="J58" i="59"/>
  <c r="J52" i="59"/>
  <c r="J49" i="59"/>
  <c r="J43" i="59"/>
  <c r="J63" i="59"/>
  <c r="J56" i="59"/>
  <c r="J42" i="59"/>
  <c r="J38" i="59"/>
  <c r="F14" i="59"/>
  <c r="N16" i="59"/>
  <c r="F18" i="59"/>
  <c r="J26" i="59"/>
  <c r="F27" i="59"/>
  <c r="J30" i="59"/>
  <c r="F31" i="59"/>
  <c r="J34" i="59"/>
  <c r="R36" i="59"/>
  <c r="J37" i="59"/>
  <c r="R41" i="59"/>
  <c r="R42" i="59"/>
  <c r="F45" i="59"/>
  <c r="D16" i="60"/>
  <c r="F30" i="60"/>
  <c r="N32" i="60"/>
  <c r="J33" i="60"/>
  <c r="F50" i="60"/>
  <c r="F24" i="61"/>
  <c r="F19" i="61"/>
  <c r="F38" i="61"/>
  <c r="F35" i="61"/>
  <c r="F23" i="61"/>
  <c r="F16" i="61"/>
  <c r="F52" i="61"/>
  <c r="F45" i="61"/>
  <c r="F22" i="61"/>
  <c r="D16" i="61"/>
  <c r="F40" i="61"/>
  <c r="F37" i="61"/>
  <c r="F32" i="61"/>
  <c r="F28" i="61"/>
  <c r="F21" i="61"/>
  <c r="F20" i="61"/>
  <c r="L12" i="61"/>
  <c r="F39" i="61"/>
  <c r="F34" i="61"/>
  <c r="F31" i="61"/>
  <c r="F27" i="61"/>
  <c r="F18" i="61"/>
  <c r="F14" i="61"/>
  <c r="L19" i="61"/>
  <c r="N19" i="61" s="1"/>
  <c r="F29" i="61"/>
  <c r="N36" i="61"/>
  <c r="L36" i="61"/>
  <c r="F49" i="61"/>
  <c r="Z64" i="62"/>
  <c r="X64" i="62"/>
  <c r="L12" i="50"/>
  <c r="F15" i="50"/>
  <c r="D18" i="50"/>
  <c r="R21" i="50"/>
  <c r="F25" i="50"/>
  <c r="F29" i="50"/>
  <c r="F33" i="50"/>
  <c r="F36" i="50"/>
  <c r="L12" i="52"/>
  <c r="F15" i="52"/>
  <c r="D18" i="52"/>
  <c r="R21" i="52"/>
  <c r="F25" i="52"/>
  <c r="F29" i="52"/>
  <c r="F33" i="52"/>
  <c r="F36" i="52"/>
  <c r="J16" i="53"/>
  <c r="J20" i="53"/>
  <c r="F22" i="53"/>
  <c r="L12" i="55"/>
  <c r="P16" i="55"/>
  <c r="F20" i="55"/>
  <c r="R21" i="55"/>
  <c r="F23" i="55"/>
  <c r="R24" i="55"/>
  <c r="D16" i="56"/>
  <c r="T16" i="56"/>
  <c r="X16" i="56" s="1"/>
  <c r="R19" i="56"/>
  <c r="J21" i="56"/>
  <c r="F22" i="56"/>
  <c r="V25" i="56"/>
  <c r="R26" i="56"/>
  <c r="V29" i="56"/>
  <c r="R30" i="56"/>
  <c r="V33" i="56"/>
  <c r="J37" i="56"/>
  <c r="V41" i="56"/>
  <c r="J45" i="56"/>
  <c r="J49" i="56"/>
  <c r="F53" i="56"/>
  <c r="V53" i="56"/>
  <c r="R54" i="56"/>
  <c r="J55" i="56"/>
  <c r="V57" i="56"/>
  <c r="J61" i="56"/>
  <c r="F63" i="56"/>
  <c r="V63" i="56"/>
  <c r="J67" i="56"/>
  <c r="F69" i="56"/>
  <c r="V69" i="56"/>
  <c r="Z12" i="57"/>
  <c r="J16" i="57"/>
  <c r="R18" i="57"/>
  <c r="V20" i="57"/>
  <c r="R21" i="57"/>
  <c r="J24" i="57"/>
  <c r="F25" i="57"/>
  <c r="F29" i="57"/>
  <c r="F33" i="57"/>
  <c r="R34" i="57"/>
  <c r="F36" i="57"/>
  <c r="V36" i="57"/>
  <c r="R37" i="57"/>
  <c r="J38" i="57"/>
  <c r="V40" i="57"/>
  <c r="J44" i="57"/>
  <c r="F45" i="57"/>
  <c r="J48" i="57"/>
  <c r="F52" i="57"/>
  <c r="V52" i="57"/>
  <c r="R53" i="57"/>
  <c r="J54" i="57"/>
  <c r="F57" i="57"/>
  <c r="F63" i="57"/>
  <c r="X12" i="58"/>
  <c r="F19" i="58"/>
  <c r="V19" i="58"/>
  <c r="R20" i="58"/>
  <c r="F24" i="58"/>
  <c r="V27" i="58"/>
  <c r="R28" i="58"/>
  <c r="V31" i="58"/>
  <c r="R32" i="58"/>
  <c r="V39" i="58"/>
  <c r="V47" i="58"/>
  <c r="R48" i="58"/>
  <c r="V51" i="58"/>
  <c r="F56" i="58"/>
  <c r="F60" i="58"/>
  <c r="R61" i="58"/>
  <c r="F63" i="58"/>
  <c r="V63" i="58"/>
  <c r="R64" i="58"/>
  <c r="D68" i="58"/>
  <c r="T68" i="58"/>
  <c r="R70" i="58"/>
  <c r="L12" i="59"/>
  <c r="X14" i="59"/>
  <c r="F20" i="59"/>
  <c r="R24" i="59"/>
  <c r="J27" i="59"/>
  <c r="F28" i="59"/>
  <c r="R29" i="59"/>
  <c r="J31" i="59"/>
  <c r="F32" i="59"/>
  <c r="R33" i="59"/>
  <c r="F35" i="59"/>
  <c r="F38" i="59"/>
  <c r="J45" i="59"/>
  <c r="F48" i="59"/>
  <c r="F49" i="59"/>
  <c r="F14" i="60"/>
  <c r="L28" i="60"/>
  <c r="N30" i="60"/>
  <c r="N18" i="61"/>
  <c r="Z40" i="61"/>
  <c r="F43" i="61"/>
  <c r="F47" i="61"/>
  <c r="N20" i="62"/>
  <c r="N66" i="62"/>
  <c r="L66" i="62"/>
  <c r="H48" i="65"/>
  <c r="Z22" i="66"/>
  <c r="N12" i="50"/>
  <c r="F18" i="50"/>
  <c r="J22" i="50"/>
  <c r="R24" i="50"/>
  <c r="X25" i="51"/>
  <c r="L29" i="51"/>
  <c r="X33" i="51"/>
  <c r="F18" i="52"/>
  <c r="J22" i="52"/>
  <c r="R24" i="52"/>
  <c r="F25" i="53"/>
  <c r="F29" i="53"/>
  <c r="F33" i="53"/>
  <c r="N16" i="54"/>
  <c r="R28" i="55"/>
  <c r="R34" i="55"/>
  <c r="N14" i="56"/>
  <c r="F16" i="56"/>
  <c r="V16" i="56"/>
  <c r="F23" i="56"/>
  <c r="V26" i="56"/>
  <c r="V30" i="56"/>
  <c r="F35" i="56"/>
  <c r="R36" i="56"/>
  <c r="F38" i="56"/>
  <c r="V38" i="56"/>
  <c r="R39" i="56"/>
  <c r="F43" i="56"/>
  <c r="R44" i="56"/>
  <c r="F46" i="56"/>
  <c r="V46" i="56"/>
  <c r="R47" i="56"/>
  <c r="F50" i="56"/>
  <c r="V50" i="56"/>
  <c r="R51" i="56"/>
  <c r="V54" i="56"/>
  <c r="F59" i="56"/>
  <c r="R60" i="56"/>
  <c r="P65" i="56"/>
  <c r="J19" i="57"/>
  <c r="V21" i="57"/>
  <c r="J25" i="57"/>
  <c r="F26" i="57"/>
  <c r="J29" i="57"/>
  <c r="F30" i="57"/>
  <c r="J33" i="57"/>
  <c r="V37" i="57"/>
  <c r="F42" i="57"/>
  <c r="R43" i="57"/>
  <c r="J45" i="57"/>
  <c r="F46" i="57"/>
  <c r="R47" i="57"/>
  <c r="F49" i="57"/>
  <c r="V49" i="57"/>
  <c r="R50" i="57"/>
  <c r="V53" i="57"/>
  <c r="J57" i="57"/>
  <c r="F59" i="57"/>
  <c r="V59" i="57"/>
  <c r="J63" i="57"/>
  <c r="F65" i="57"/>
  <c r="V65" i="57"/>
  <c r="R14" i="58"/>
  <c r="R18" i="58"/>
  <c r="R21" i="58"/>
  <c r="F25" i="58"/>
  <c r="R29" i="58"/>
  <c r="V32" i="58"/>
  <c r="R33" i="58"/>
  <c r="F36" i="58"/>
  <c r="V36" i="58"/>
  <c r="R37" i="58"/>
  <c r="F41" i="58"/>
  <c r="R42" i="58"/>
  <c r="F44" i="58"/>
  <c r="V44" i="58"/>
  <c r="R45" i="58"/>
  <c r="V48" i="58"/>
  <c r="F53" i="58"/>
  <c r="R54" i="58"/>
  <c r="F57" i="58"/>
  <c r="V64" i="58"/>
  <c r="F68" i="58"/>
  <c r="V68" i="58"/>
  <c r="V70" i="58"/>
  <c r="F75" i="58"/>
  <c r="V75" i="58"/>
  <c r="F21" i="59"/>
  <c r="J28" i="59"/>
  <c r="J32" i="59"/>
  <c r="J46" i="59"/>
  <c r="F47" i="59"/>
  <c r="J48" i="59"/>
  <c r="F50" i="59"/>
  <c r="F48" i="60"/>
  <c r="F42" i="60"/>
  <c r="F38" i="60"/>
  <c r="F26" i="60"/>
  <c r="F32" i="60"/>
  <c r="F29" i="60"/>
  <c r="F25" i="60"/>
  <c r="F24" i="60"/>
  <c r="F19" i="60"/>
  <c r="F53" i="60"/>
  <c r="F46" i="60"/>
  <c r="F34" i="60"/>
  <c r="F31" i="60"/>
  <c r="F23" i="60"/>
  <c r="F16" i="60"/>
  <c r="F41" i="60"/>
  <c r="F33" i="60"/>
  <c r="F28" i="60"/>
  <c r="F21" i="60"/>
  <c r="Z18" i="60"/>
  <c r="R24" i="60"/>
  <c r="F27" i="60"/>
  <c r="N28" i="60"/>
  <c r="R31" i="60"/>
  <c r="F39" i="60"/>
  <c r="R41" i="60"/>
  <c r="Z14" i="61"/>
  <c r="X14" i="61"/>
  <c r="T12" i="64"/>
  <c r="Z18" i="64"/>
  <c r="J15" i="50"/>
  <c r="H18" i="50"/>
  <c r="J25" i="50"/>
  <c r="R27" i="50"/>
  <c r="J29" i="50"/>
  <c r="R31" i="50"/>
  <c r="J33" i="50"/>
  <c r="J15" i="52"/>
  <c r="H18" i="52"/>
  <c r="J25" i="52"/>
  <c r="R27" i="52"/>
  <c r="J29" i="52"/>
  <c r="R31" i="52"/>
  <c r="J33" i="52"/>
  <c r="D16" i="55"/>
  <c r="R19" i="55"/>
  <c r="F21" i="55"/>
  <c r="F26" i="55"/>
  <c r="X12" i="56"/>
  <c r="F19" i="56"/>
  <c r="V19" i="56"/>
  <c r="R20" i="56"/>
  <c r="J23" i="56"/>
  <c r="F24" i="56"/>
  <c r="V27" i="56"/>
  <c r="V31" i="56"/>
  <c r="J35" i="56"/>
  <c r="V39" i="56"/>
  <c r="J43" i="56"/>
  <c r="V47" i="56"/>
  <c r="R48" i="56"/>
  <c r="R52" i="56"/>
  <c r="J53" i="56"/>
  <c r="J59" i="56"/>
  <c r="J63" i="56"/>
  <c r="R65" i="56"/>
  <c r="F14" i="57"/>
  <c r="V14" i="57"/>
  <c r="F18" i="57"/>
  <c r="V18" i="57"/>
  <c r="V22" i="57"/>
  <c r="R23" i="57"/>
  <c r="J26" i="57"/>
  <c r="F27" i="57"/>
  <c r="R28" i="57"/>
  <c r="J30" i="57"/>
  <c r="F31" i="57"/>
  <c r="R32" i="57"/>
  <c r="F34" i="57"/>
  <c r="V34" i="57"/>
  <c r="R35" i="57"/>
  <c r="J36" i="57"/>
  <c r="F39" i="57"/>
  <c r="J42" i="57"/>
  <c r="J46" i="57"/>
  <c r="R51" i="57"/>
  <c r="V21" i="58"/>
  <c r="R22" i="58"/>
  <c r="F26" i="58"/>
  <c r="V29" i="58"/>
  <c r="V33" i="58"/>
  <c r="R34" i="58"/>
  <c r="V37" i="58"/>
  <c r="V45" i="58"/>
  <c r="F50" i="58"/>
  <c r="F58" i="58"/>
  <c r="R59" i="58"/>
  <c r="R48" i="59"/>
  <c r="R40" i="59"/>
  <c r="R37" i="59"/>
  <c r="R60" i="59"/>
  <c r="R54" i="59"/>
  <c r="R47" i="59"/>
  <c r="R44" i="59"/>
  <c r="D16" i="59"/>
  <c r="R19" i="59"/>
  <c r="J21" i="59"/>
  <c r="F22" i="59"/>
  <c r="R26" i="59"/>
  <c r="F29" i="59"/>
  <c r="R30" i="59"/>
  <c r="F33" i="59"/>
  <c r="R34" i="59"/>
  <c r="J35" i="59"/>
  <c r="J39" i="59"/>
  <c r="R45" i="59"/>
  <c r="J47" i="59"/>
  <c r="J50" i="59"/>
  <c r="F51" i="59"/>
  <c r="J54" i="59"/>
  <c r="J29" i="60"/>
  <c r="J25" i="60"/>
  <c r="J19" i="60"/>
  <c r="J53" i="60"/>
  <c r="J46" i="60"/>
  <c r="J34" i="60"/>
  <c r="J24" i="60"/>
  <c r="J16" i="60"/>
  <c r="J41" i="60"/>
  <c r="J37" i="60"/>
  <c r="J31" i="60"/>
  <c r="J23" i="60"/>
  <c r="H16" i="60"/>
  <c r="J28" i="60"/>
  <c r="J22" i="60"/>
  <c r="J50" i="60"/>
  <c r="J44" i="60"/>
  <c r="J40" i="60"/>
  <c r="J36" i="60"/>
  <c r="J30" i="60"/>
  <c r="J20" i="60"/>
  <c r="J18" i="60"/>
  <c r="J14" i="60"/>
  <c r="N12" i="60"/>
  <c r="P16" i="60"/>
  <c r="R19" i="60"/>
  <c r="F22" i="60"/>
  <c r="R23" i="60"/>
  <c r="J27" i="60"/>
  <c r="Z34" i="60"/>
  <c r="F37" i="60"/>
  <c r="J38" i="60"/>
  <c r="J39" i="60"/>
  <c r="Z41" i="60"/>
  <c r="F44" i="60"/>
  <c r="J48" i="60"/>
  <c r="F41" i="61"/>
  <c r="Z20" i="62"/>
  <c r="X20" i="62"/>
  <c r="N86" i="62"/>
  <c r="J40" i="62"/>
  <c r="J46" i="62"/>
  <c r="J58" i="62"/>
  <c r="F61" i="62"/>
  <c r="F64" i="62"/>
  <c r="R65" i="62"/>
  <c r="J66" i="62"/>
  <c r="F69" i="62"/>
  <c r="V72" i="62"/>
  <c r="V76" i="62"/>
  <c r="J80" i="62"/>
  <c r="F81" i="62"/>
  <c r="V84" i="62"/>
  <c r="R85" i="62"/>
  <c r="J86" i="62"/>
  <c r="F89" i="62"/>
  <c r="R90" i="62"/>
  <c r="J92" i="62"/>
  <c r="J96" i="62"/>
  <c r="N16" i="64"/>
  <c r="L16" i="64"/>
  <c r="Z51" i="64"/>
  <c r="V37" i="65"/>
  <c r="V33" i="65"/>
  <c r="V25" i="65"/>
  <c r="V51" i="65"/>
  <c r="V46" i="65"/>
  <c r="V44" i="65"/>
  <c r="V40" i="65"/>
  <c r="V36" i="65"/>
  <c r="V24" i="65"/>
  <c r="V39" i="65"/>
  <c r="V27" i="65"/>
  <c r="V19" i="65"/>
  <c r="V15" i="65"/>
  <c r="V26" i="65"/>
  <c r="V14" i="65"/>
  <c r="V29" i="65"/>
  <c r="V21" i="65"/>
  <c r="V48" i="65"/>
  <c r="V42" i="65"/>
  <c r="V32" i="65"/>
  <c r="V28" i="65"/>
  <c r="V20" i="65"/>
  <c r="Z12" i="65"/>
  <c r="V35" i="65"/>
  <c r="V31" i="65"/>
  <c r="V23" i="65"/>
  <c r="V17" i="65"/>
  <c r="V34" i="65"/>
  <c r="N24" i="66"/>
  <c r="Z33" i="66"/>
  <c r="V22" i="61"/>
  <c r="J26" i="61"/>
  <c r="J30" i="61"/>
  <c r="V34" i="61"/>
  <c r="J36" i="61"/>
  <c r="R40" i="61"/>
  <c r="P45" i="61"/>
  <c r="J17" i="62"/>
  <c r="R19" i="62"/>
  <c r="V21" i="62"/>
  <c r="R22" i="62"/>
  <c r="J25" i="62"/>
  <c r="F26" i="62"/>
  <c r="V29" i="62"/>
  <c r="R30" i="62"/>
  <c r="J31" i="62"/>
  <c r="V33" i="62"/>
  <c r="R34" i="62"/>
  <c r="J37" i="62"/>
  <c r="F38" i="62"/>
  <c r="R39" i="62"/>
  <c r="F41" i="62"/>
  <c r="V41" i="62"/>
  <c r="R42" i="62"/>
  <c r="V45" i="62"/>
  <c r="F50" i="62"/>
  <c r="J53" i="62"/>
  <c r="V57" i="62"/>
  <c r="J61" i="62"/>
  <c r="V65" i="62"/>
  <c r="J69" i="62"/>
  <c r="F70" i="62"/>
  <c r="F74" i="62"/>
  <c r="F78" i="62"/>
  <c r="R79" i="62"/>
  <c r="J81" i="62"/>
  <c r="F82" i="62"/>
  <c r="V85" i="62"/>
  <c r="J89" i="62"/>
  <c r="F93" i="62"/>
  <c r="V93" i="62"/>
  <c r="R94" i="62"/>
  <c r="R97" i="62"/>
  <c r="J99" i="62"/>
  <c r="R103" i="62"/>
  <c r="J106" i="62"/>
  <c r="Z27" i="64"/>
  <c r="Z41" i="64"/>
  <c r="T17" i="65"/>
  <c r="V38" i="65"/>
  <c r="P12" i="66"/>
  <c r="X13" i="66"/>
  <c r="Z13" i="66" s="1"/>
  <c r="N16" i="66"/>
  <c r="L85" i="66"/>
  <c r="N85" i="66" s="1"/>
  <c r="N112" i="66"/>
  <c r="N101" i="69"/>
  <c r="L101" i="69"/>
  <c r="J43" i="61"/>
  <c r="J49" i="61"/>
  <c r="J20" i="62"/>
  <c r="V22" i="62"/>
  <c r="R23" i="62"/>
  <c r="J26" i="62"/>
  <c r="F27" i="62"/>
  <c r="V30" i="62"/>
  <c r="V34" i="62"/>
  <c r="R35" i="62"/>
  <c r="J38" i="62"/>
  <c r="V42" i="62"/>
  <c r="R43" i="62"/>
  <c r="J44" i="62"/>
  <c r="F47" i="62"/>
  <c r="J50" i="62"/>
  <c r="F51" i="62"/>
  <c r="R52" i="62"/>
  <c r="F54" i="62"/>
  <c r="V54" i="62"/>
  <c r="R55" i="62"/>
  <c r="J56" i="62"/>
  <c r="F59" i="62"/>
  <c r="R60" i="62"/>
  <c r="F62" i="62"/>
  <c r="V62" i="62"/>
  <c r="R63" i="62"/>
  <c r="J64" i="62"/>
  <c r="F67" i="62"/>
  <c r="R68" i="62"/>
  <c r="J70" i="62"/>
  <c r="F71" i="62"/>
  <c r="J74" i="62"/>
  <c r="F75" i="62"/>
  <c r="J78" i="62"/>
  <c r="J82" i="62"/>
  <c r="F83" i="62"/>
  <c r="F87" i="62"/>
  <c r="R88" i="62"/>
  <c r="F90" i="62"/>
  <c r="V90" i="62"/>
  <c r="R91" i="62"/>
  <c r="V94" i="62"/>
  <c r="F101" i="62"/>
  <c r="Z53" i="64"/>
  <c r="L33" i="65"/>
  <c r="N33" i="65" s="1"/>
  <c r="T57" i="66"/>
  <c r="Z83" i="66"/>
  <c r="X83" i="66"/>
  <c r="D110" i="66"/>
  <c r="V16" i="60"/>
  <c r="V26" i="60"/>
  <c r="V34" i="60"/>
  <c r="V38" i="60"/>
  <c r="V42" i="60"/>
  <c r="V46" i="60"/>
  <c r="V48" i="60"/>
  <c r="V53" i="60"/>
  <c r="N12" i="61"/>
  <c r="J14" i="61"/>
  <c r="R16" i="61"/>
  <c r="J18" i="61"/>
  <c r="J20" i="61"/>
  <c r="V24" i="61"/>
  <c r="R25" i="61"/>
  <c r="V28" i="61"/>
  <c r="R29" i="61"/>
  <c r="V32" i="61"/>
  <c r="R33" i="61"/>
  <c r="J34" i="61"/>
  <c r="R38" i="61"/>
  <c r="V40" i="61"/>
  <c r="R41" i="61"/>
  <c r="R47" i="61"/>
  <c r="L12" i="62"/>
  <c r="V15" i="62"/>
  <c r="F19" i="62"/>
  <c r="V19" i="62"/>
  <c r="V23" i="62"/>
  <c r="R24" i="62"/>
  <c r="J27" i="62"/>
  <c r="F28" i="62"/>
  <c r="F32" i="62"/>
  <c r="V35" i="62"/>
  <c r="R36" i="62"/>
  <c r="F39" i="62"/>
  <c r="V39" i="62"/>
  <c r="R40" i="62"/>
  <c r="J41" i="62"/>
  <c r="V43" i="62"/>
  <c r="J47" i="62"/>
  <c r="F48" i="62"/>
  <c r="R49" i="62"/>
  <c r="J51" i="62"/>
  <c r="V55" i="62"/>
  <c r="J59" i="62"/>
  <c r="V63" i="62"/>
  <c r="J67" i="62"/>
  <c r="J71" i="62"/>
  <c r="F72" i="62"/>
  <c r="R73" i="62"/>
  <c r="J75" i="62"/>
  <c r="F76" i="62"/>
  <c r="R77" i="62"/>
  <c r="F79" i="62"/>
  <c r="V79" i="62"/>
  <c r="R80" i="62"/>
  <c r="J83" i="62"/>
  <c r="F84" i="62"/>
  <c r="J87" i="62"/>
  <c r="V91" i="62"/>
  <c r="R92" i="62"/>
  <c r="J93" i="62"/>
  <c r="P96" i="62"/>
  <c r="X96" i="62" s="1"/>
  <c r="Z96" i="62" s="1"/>
  <c r="F97" i="62"/>
  <c r="V97" i="62"/>
  <c r="J101" i="62"/>
  <c r="F103" i="62"/>
  <c r="V103" i="62"/>
  <c r="H12" i="64"/>
  <c r="N24" i="64"/>
  <c r="L24" i="64"/>
  <c r="X53" i="64"/>
  <c r="N19" i="65"/>
  <c r="Z20" i="66"/>
  <c r="X48" i="69"/>
  <c r="Z48" i="69" s="1"/>
  <c r="V19" i="60"/>
  <c r="V27" i="60"/>
  <c r="V35" i="60"/>
  <c r="V39" i="60"/>
  <c r="T16" i="61"/>
  <c r="R19" i="61"/>
  <c r="J21" i="61"/>
  <c r="V25" i="61"/>
  <c r="R26" i="61"/>
  <c r="V29" i="61"/>
  <c r="R30" i="61"/>
  <c r="V33" i="61"/>
  <c r="J37" i="61"/>
  <c r="V41" i="61"/>
  <c r="V45" i="61"/>
  <c r="V47" i="61"/>
  <c r="V52" i="61"/>
  <c r="N12" i="62"/>
  <c r="J14" i="62"/>
  <c r="P17" i="62"/>
  <c r="F21" i="62"/>
  <c r="V24" i="62"/>
  <c r="R25" i="62"/>
  <c r="J28" i="62"/>
  <c r="F29" i="62"/>
  <c r="J32" i="62"/>
  <c r="F33" i="62"/>
  <c r="V36" i="62"/>
  <c r="R37" i="62"/>
  <c r="V40" i="62"/>
  <c r="F45" i="62"/>
  <c r="R46" i="62"/>
  <c r="J48" i="62"/>
  <c r="F52" i="62"/>
  <c r="V52" i="62"/>
  <c r="R53" i="62"/>
  <c r="J54" i="62"/>
  <c r="F57" i="62"/>
  <c r="R58" i="62"/>
  <c r="F60" i="62"/>
  <c r="V60" i="62"/>
  <c r="R61" i="62"/>
  <c r="J62" i="62"/>
  <c r="F65" i="62"/>
  <c r="R66" i="62"/>
  <c r="F68" i="62"/>
  <c r="V68" i="62"/>
  <c r="R69" i="62"/>
  <c r="J72" i="62"/>
  <c r="J76" i="62"/>
  <c r="V80" i="62"/>
  <c r="R81" i="62"/>
  <c r="J84" i="62"/>
  <c r="F85" i="62"/>
  <c r="R86" i="62"/>
  <c r="F88" i="62"/>
  <c r="V88" i="62"/>
  <c r="R89" i="62"/>
  <c r="J90" i="62"/>
  <c r="V92" i="62"/>
  <c r="R96" i="62"/>
  <c r="D12" i="64"/>
  <c r="N14" i="64"/>
  <c r="L55" i="64"/>
  <c r="Z33" i="65"/>
  <c r="Z19" i="66"/>
  <c r="N59" i="66"/>
  <c r="N87" i="66"/>
  <c r="L36" i="69"/>
  <c r="N36" i="69" s="1"/>
  <c r="H12" i="69"/>
  <c r="V36" i="60"/>
  <c r="N14" i="61"/>
  <c r="V16" i="61"/>
  <c r="J22" i="61"/>
  <c r="V26" i="61"/>
  <c r="J28" i="61"/>
  <c r="V30" i="61"/>
  <c r="J32" i="61"/>
  <c r="R36" i="61"/>
  <c r="V38" i="61"/>
  <c r="R39" i="61"/>
  <c r="J40" i="61"/>
  <c r="R17" i="62"/>
  <c r="J19" i="62"/>
  <c r="J21" i="62"/>
  <c r="F22" i="62"/>
  <c r="V25" i="62"/>
  <c r="R26" i="62"/>
  <c r="J29" i="62"/>
  <c r="F30" i="62"/>
  <c r="R31" i="62"/>
  <c r="J33" i="62"/>
  <c r="F34" i="62"/>
  <c r="V37" i="62"/>
  <c r="R38" i="62"/>
  <c r="J39" i="62"/>
  <c r="F42" i="62"/>
  <c r="J45" i="62"/>
  <c r="F49" i="62"/>
  <c r="V49" i="62"/>
  <c r="R50" i="62"/>
  <c r="V53" i="62"/>
  <c r="J57" i="62"/>
  <c r="V61" i="62"/>
  <c r="J65" i="62"/>
  <c r="V69" i="62"/>
  <c r="R70" i="62"/>
  <c r="F73" i="62"/>
  <c r="V73" i="62"/>
  <c r="R74" i="62"/>
  <c r="F77" i="62"/>
  <c r="V77" i="62"/>
  <c r="R78" i="62"/>
  <c r="J79" i="62"/>
  <c r="V81" i="62"/>
  <c r="R82" i="62"/>
  <c r="J85" i="62"/>
  <c r="V89" i="62"/>
  <c r="F94" i="62"/>
  <c r="J97" i="62"/>
  <c r="R99" i="62"/>
  <c r="J103" i="62"/>
  <c r="R106" i="62"/>
  <c r="Z20" i="64"/>
  <c r="X20" i="64"/>
  <c r="V100" i="66"/>
  <c r="V96" i="66"/>
  <c r="V113" i="66"/>
  <c r="V103" i="66"/>
  <c r="V99" i="66"/>
  <c r="V95" i="66"/>
  <c r="V111" i="66"/>
  <c r="V105" i="66"/>
  <c r="V101" i="66"/>
  <c r="V108" i="66"/>
  <c r="V104" i="66"/>
  <c r="V106" i="66"/>
  <c r="V97" i="66"/>
  <c r="V89" i="66"/>
  <c r="V85" i="66"/>
  <c r="V77" i="66"/>
  <c r="V65" i="66"/>
  <c r="V49" i="66"/>
  <c r="V41" i="66"/>
  <c r="V112" i="66"/>
  <c r="V88" i="66"/>
  <c r="V76" i="66"/>
  <c r="V64" i="66"/>
  <c r="V48" i="66"/>
  <c r="V40" i="66"/>
  <c r="V94" i="66"/>
  <c r="V91" i="66"/>
  <c r="V87" i="66"/>
  <c r="V79" i="66"/>
  <c r="V75" i="66"/>
  <c r="V63" i="66"/>
  <c r="V59" i="66"/>
  <c r="V55" i="66"/>
  <c r="V47" i="66"/>
  <c r="V39" i="66"/>
  <c r="V102" i="66"/>
  <c r="V90" i="66"/>
  <c r="V82" i="66"/>
  <c r="V78" i="66"/>
  <c r="V74" i="66"/>
  <c r="V62" i="66"/>
  <c r="V54" i="66"/>
  <c r="V46" i="66"/>
  <c r="V38" i="66"/>
  <c r="V117" i="66"/>
  <c r="V81" i="66"/>
  <c r="V73" i="66"/>
  <c r="V69" i="66"/>
  <c r="V61" i="66"/>
  <c r="V53" i="66"/>
  <c r="V45" i="66"/>
  <c r="V107" i="66"/>
  <c r="V98" i="66"/>
  <c r="V92" i="66"/>
  <c r="V84" i="66"/>
  <c r="V80" i="66"/>
  <c r="V72" i="66"/>
  <c r="V68" i="66"/>
  <c r="V60" i="66"/>
  <c r="V52" i="66"/>
  <c r="V44" i="66"/>
  <c r="V93" i="66"/>
  <c r="V83" i="66"/>
  <c r="V71" i="66"/>
  <c r="V67" i="66"/>
  <c r="V57" i="66"/>
  <c r="V51" i="66"/>
  <c r="V43" i="66"/>
  <c r="V19" i="61"/>
  <c r="J23" i="61"/>
  <c r="V27" i="61"/>
  <c r="V31" i="61"/>
  <c r="J35" i="61"/>
  <c r="R43" i="61"/>
  <c r="J45" i="61"/>
  <c r="F15" i="62"/>
  <c r="D17" i="62"/>
  <c r="T17" i="62"/>
  <c r="R20" i="62"/>
  <c r="J22" i="62"/>
  <c r="F23" i="62"/>
  <c r="V26" i="62"/>
  <c r="R27" i="62"/>
  <c r="J30" i="62"/>
  <c r="J34" i="62"/>
  <c r="F35" i="62"/>
  <c r="V38" i="62"/>
  <c r="J42" i="62"/>
  <c r="F43" i="62"/>
  <c r="R44" i="62"/>
  <c r="F46" i="62"/>
  <c r="V46" i="62"/>
  <c r="R47" i="62"/>
  <c r="V50" i="62"/>
  <c r="R51" i="62"/>
  <c r="J52" i="62"/>
  <c r="F55" i="62"/>
  <c r="R56" i="62"/>
  <c r="F58" i="62"/>
  <c r="V58" i="62"/>
  <c r="R59" i="62"/>
  <c r="J60" i="62"/>
  <c r="F63" i="62"/>
  <c r="R64" i="62"/>
  <c r="F66" i="62"/>
  <c r="V66" i="62"/>
  <c r="R67" i="62"/>
  <c r="J68" i="62"/>
  <c r="V70" i="62"/>
  <c r="R71" i="62"/>
  <c r="V74" i="62"/>
  <c r="R75" i="62"/>
  <c r="V78" i="62"/>
  <c r="V82" i="62"/>
  <c r="R83" i="62"/>
  <c r="F86" i="62"/>
  <c r="V86" i="62"/>
  <c r="R87" i="62"/>
  <c r="J88" i="62"/>
  <c r="F91" i="62"/>
  <c r="X18" i="64"/>
  <c r="N41" i="64"/>
  <c r="N75" i="64"/>
  <c r="D44" i="65"/>
  <c r="L17" i="65"/>
  <c r="V22" i="65"/>
  <c r="V30" i="65"/>
  <c r="N39" i="65"/>
  <c r="Z30" i="66"/>
  <c r="L32" i="66"/>
  <c r="V50" i="66"/>
  <c r="X12" i="65"/>
  <c r="J15" i="65"/>
  <c r="F17" i="65"/>
  <c r="J27" i="65"/>
  <c r="R32" i="65"/>
  <c r="J33" i="65"/>
  <c r="F40" i="65"/>
  <c r="F46" i="65"/>
  <c r="Z98" i="66"/>
  <c r="Z107" i="66"/>
  <c r="H110" i="66"/>
  <c r="Z13" i="67"/>
  <c r="T12" i="67"/>
  <c r="D12" i="69"/>
  <c r="L13" i="69"/>
  <c r="N21" i="69"/>
  <c r="L28" i="69"/>
  <c r="N28" i="69" s="1"/>
  <c r="Z29" i="69"/>
  <c r="Z33" i="69"/>
  <c r="N46" i="69"/>
  <c r="J43" i="67"/>
  <c r="J35" i="67"/>
  <c r="J25" i="67"/>
  <c r="J23" i="67"/>
  <c r="J57" i="67"/>
  <c r="J50" i="67"/>
  <c r="J40" i="67"/>
  <c r="J32" i="67"/>
  <c r="J18" i="67"/>
  <c r="J42" i="67"/>
  <c r="J34" i="67"/>
  <c r="J30" i="67"/>
  <c r="J24" i="67"/>
  <c r="J39" i="67"/>
  <c r="J29" i="67"/>
  <c r="J21" i="67"/>
  <c r="J54" i="67"/>
  <c r="J48" i="67"/>
  <c r="J44" i="67"/>
  <c r="J36" i="67"/>
  <c r="J28" i="67"/>
  <c r="H21" i="67"/>
  <c r="N12" i="67"/>
  <c r="J41" i="67"/>
  <c r="J33" i="67"/>
  <c r="J27" i="67"/>
  <c r="J31" i="67"/>
  <c r="J37" i="67"/>
  <c r="N13" i="69"/>
  <c r="Z40" i="69"/>
  <c r="X40" i="69"/>
  <c r="X13" i="71"/>
  <c r="P12" i="71"/>
  <c r="N69" i="71"/>
  <c r="J18" i="75"/>
  <c r="J27" i="75"/>
  <c r="J23" i="75"/>
  <c r="H23" i="75"/>
  <c r="J31" i="75"/>
  <c r="J21" i="75"/>
  <c r="J20" i="75"/>
  <c r="J25" i="75"/>
  <c r="J19" i="75"/>
  <c r="P29" i="75"/>
  <c r="R19" i="65"/>
  <c r="J25" i="65"/>
  <c r="F34" i="65"/>
  <c r="J37" i="65"/>
  <c r="F38" i="65"/>
  <c r="R39" i="65"/>
  <c r="D12" i="66"/>
  <c r="X14" i="66"/>
  <c r="Z14" i="66" s="1"/>
  <c r="L18" i="66"/>
  <c r="N18" i="66" s="1"/>
  <c r="X22" i="66"/>
  <c r="L26" i="66"/>
  <c r="N26" i="66" s="1"/>
  <c r="X30" i="66"/>
  <c r="L34" i="66"/>
  <c r="N34" i="66" s="1"/>
  <c r="N101" i="66"/>
  <c r="Z18" i="67"/>
  <c r="L20" i="69"/>
  <c r="N20" i="69" s="1"/>
  <c r="Z21" i="69"/>
  <c r="N38" i="69"/>
  <c r="N18" i="70"/>
  <c r="L18" i="70"/>
  <c r="N47" i="70"/>
  <c r="L47" i="70"/>
  <c r="F14" i="65"/>
  <c r="R15" i="65"/>
  <c r="J20" i="65"/>
  <c r="F23" i="65"/>
  <c r="R24" i="65"/>
  <c r="F26" i="65"/>
  <c r="R27" i="65"/>
  <c r="J28" i="65"/>
  <c r="F31" i="65"/>
  <c r="J34" i="65"/>
  <c r="F35" i="65"/>
  <c r="R36" i="65"/>
  <c r="J38" i="65"/>
  <c r="J42" i="65"/>
  <c r="R44" i="65"/>
  <c r="J48" i="65"/>
  <c r="R51" i="65"/>
  <c r="H12" i="66"/>
  <c r="Z94" i="66"/>
  <c r="J45" i="67"/>
  <c r="Z13" i="69"/>
  <c r="T12" i="69"/>
  <c r="Z17" i="69"/>
  <c r="X32" i="69"/>
  <c r="Z32" i="69" s="1"/>
  <c r="N45" i="69"/>
  <c r="N52" i="69"/>
  <c r="L52" i="69"/>
  <c r="Z53" i="69"/>
  <c r="X14" i="64"/>
  <c r="Z14" i="64" s="1"/>
  <c r="L18" i="64"/>
  <c r="X22" i="64"/>
  <c r="L42" i="64"/>
  <c r="L46" i="64"/>
  <c r="X60" i="64"/>
  <c r="Z60" i="64" s="1"/>
  <c r="L62" i="64"/>
  <c r="L80" i="64"/>
  <c r="L12" i="65"/>
  <c r="X14" i="65"/>
  <c r="N17" i="65"/>
  <c r="F19" i="65"/>
  <c r="J23" i="65"/>
  <c r="X26" i="65"/>
  <c r="Z26" i="65" s="1"/>
  <c r="J31" i="65"/>
  <c r="F32" i="65"/>
  <c r="R33" i="65"/>
  <c r="J35" i="65"/>
  <c r="F39" i="65"/>
  <c r="R40" i="65"/>
  <c r="R46" i="65"/>
  <c r="Z111" i="66"/>
  <c r="X14" i="67"/>
  <c r="P12" i="67"/>
  <c r="X24" i="69"/>
  <c r="Z24" i="69" s="1"/>
  <c r="N113" i="69"/>
  <c r="L113" i="69"/>
  <c r="J89" i="71"/>
  <c r="J77" i="71"/>
  <c r="J71" i="71"/>
  <c r="J63" i="71"/>
  <c r="J57" i="71"/>
  <c r="H50" i="71"/>
  <c r="J50" i="71" s="1"/>
  <c r="J41" i="71"/>
  <c r="J35" i="71"/>
  <c r="J98" i="71"/>
  <c r="J92" i="71"/>
  <c r="J86" i="71"/>
  <c r="J82" i="71"/>
  <c r="J76" i="71"/>
  <c r="J68" i="71"/>
  <c r="J56" i="71"/>
  <c r="J48" i="71"/>
  <c r="J40" i="71"/>
  <c r="J79" i="71"/>
  <c r="J73" i="71"/>
  <c r="J67" i="71"/>
  <c r="J55" i="71"/>
  <c r="J47" i="71"/>
  <c r="J39" i="71"/>
  <c r="J88" i="71"/>
  <c r="J70" i="71"/>
  <c r="J66" i="71"/>
  <c r="J62" i="71"/>
  <c r="J54" i="71"/>
  <c r="J52" i="71"/>
  <c r="J46" i="71"/>
  <c r="J38" i="71"/>
  <c r="J93" i="71"/>
  <c r="J85" i="71"/>
  <c r="J81" i="71"/>
  <c r="J75" i="71"/>
  <c r="J65" i="71"/>
  <c r="J61" i="71"/>
  <c r="J45" i="71"/>
  <c r="J37" i="71"/>
  <c r="J84" i="71"/>
  <c r="J78" i="71"/>
  <c r="J72" i="71"/>
  <c r="J64" i="71"/>
  <c r="J60" i="71"/>
  <c r="J44" i="71"/>
  <c r="J36" i="71"/>
  <c r="J42" i="71"/>
  <c r="J91" i="71"/>
  <c r="J87" i="71"/>
  <c r="J83" i="71"/>
  <c r="J43" i="71"/>
  <c r="J94" i="71"/>
  <c r="J58" i="71"/>
  <c r="J80" i="71"/>
  <c r="J74" i="71"/>
  <c r="J69" i="71"/>
  <c r="J53" i="71"/>
  <c r="X24" i="71"/>
  <c r="Z24" i="71" s="1"/>
  <c r="P17" i="65"/>
  <c r="F21" i="65"/>
  <c r="R22" i="65"/>
  <c r="F24" i="65"/>
  <c r="R25" i="65"/>
  <c r="J26" i="65"/>
  <c r="F29" i="65"/>
  <c r="R30" i="65"/>
  <c r="J32" i="65"/>
  <c r="F36" i="65"/>
  <c r="R37" i="65"/>
  <c r="F44" i="65"/>
  <c r="F51" i="65"/>
  <c r="L13" i="66"/>
  <c r="N13" i="66" s="1"/>
  <c r="X17" i="66"/>
  <c r="Z17" i="66" s="1"/>
  <c r="L21" i="66"/>
  <c r="X25" i="66"/>
  <c r="Z25" i="66" s="1"/>
  <c r="L29" i="66"/>
  <c r="N29" i="66" s="1"/>
  <c r="X33" i="66"/>
  <c r="Z101" i="66"/>
  <c r="X111" i="66"/>
  <c r="D12" i="67"/>
  <c r="L13" i="67"/>
  <c r="X16" i="67"/>
  <c r="X24" i="67"/>
  <c r="Z24" i="67" s="1"/>
  <c r="N33" i="67"/>
  <c r="L33" i="67"/>
  <c r="J52" i="67"/>
  <c r="N22" i="69"/>
  <c r="N37" i="69"/>
  <c r="L44" i="69"/>
  <c r="N44" i="69" s="1"/>
  <c r="Z45" i="69"/>
  <c r="R17" i="65"/>
  <c r="J19" i="65"/>
  <c r="J21" i="65"/>
  <c r="J29" i="65"/>
  <c r="R34" i="65"/>
  <c r="X112" i="66"/>
  <c r="Z112" i="66" s="1"/>
  <c r="L18" i="67"/>
  <c r="J19" i="67"/>
  <c r="J26" i="67"/>
  <c r="J38" i="67"/>
  <c r="Z39" i="67"/>
  <c r="X39" i="67"/>
  <c r="N41" i="67"/>
  <c r="L41" i="67"/>
  <c r="X16" i="69"/>
  <c r="Z16" i="69" s="1"/>
  <c r="Z138" i="69"/>
  <c r="V85" i="71"/>
  <c r="V81" i="71"/>
  <c r="V69" i="71"/>
  <c r="V65" i="71"/>
  <c r="V61" i="71"/>
  <c r="V53" i="71"/>
  <c r="V45" i="71"/>
  <c r="V37" i="71"/>
  <c r="V94" i="71"/>
  <c r="V84" i="71"/>
  <c r="V80" i="71"/>
  <c r="V72" i="71"/>
  <c r="V64" i="71"/>
  <c r="V60" i="71"/>
  <c r="V44" i="71"/>
  <c r="V36" i="71"/>
  <c r="V87" i="71"/>
  <c r="V83" i="71"/>
  <c r="V71" i="71"/>
  <c r="V63" i="71"/>
  <c r="V59" i="71"/>
  <c r="T50" i="71"/>
  <c r="V43" i="71"/>
  <c r="V35" i="71"/>
  <c r="V92" i="71"/>
  <c r="V86" i="71"/>
  <c r="V82" i="71"/>
  <c r="V74" i="71"/>
  <c r="V58" i="71"/>
  <c r="V42" i="71"/>
  <c r="V89" i="71"/>
  <c r="V77" i="71"/>
  <c r="V73" i="71"/>
  <c r="V57" i="71"/>
  <c r="V41" i="71"/>
  <c r="V98" i="71"/>
  <c r="V88" i="71"/>
  <c r="V76" i="71"/>
  <c r="V68" i="71"/>
  <c r="V56" i="71"/>
  <c r="V52" i="71"/>
  <c r="V48" i="71"/>
  <c r="V40" i="71"/>
  <c r="V66" i="71"/>
  <c r="V93" i="71"/>
  <c r="V67" i="71"/>
  <c r="V55" i="71"/>
  <c r="V47" i="71"/>
  <c r="V78" i="71"/>
  <c r="V75" i="71"/>
  <c r="V38" i="71"/>
  <c r="V79" i="71"/>
  <c r="V39" i="71"/>
  <c r="V70" i="71"/>
  <c r="V62" i="71"/>
  <c r="V54" i="71"/>
  <c r="N133" i="69"/>
  <c r="L133" i="69"/>
  <c r="Z19" i="70"/>
  <c r="F64" i="70"/>
  <c r="Z13" i="71"/>
  <c r="N17" i="71"/>
  <c r="D91" i="71"/>
  <c r="L91" i="71" s="1"/>
  <c r="L93" i="71"/>
  <c r="J59" i="73"/>
  <c r="J47" i="73"/>
  <c r="J39" i="73"/>
  <c r="J35" i="73"/>
  <c r="J31" i="73"/>
  <c r="J58" i="73"/>
  <c r="J50" i="73"/>
  <c r="J44" i="73"/>
  <c r="J34" i="73"/>
  <c r="J30" i="73"/>
  <c r="J71" i="73"/>
  <c r="J65" i="73"/>
  <c r="J61" i="73"/>
  <c r="J57" i="73"/>
  <c r="J53" i="73"/>
  <c r="J41" i="73"/>
  <c r="J29" i="73"/>
  <c r="J56" i="73"/>
  <c r="J52" i="73"/>
  <c r="J46" i="73"/>
  <c r="J38" i="73"/>
  <c r="J28" i="73"/>
  <c r="J69" i="73"/>
  <c r="J63" i="73"/>
  <c r="J55" i="73"/>
  <c r="J49" i="73"/>
  <c r="J43" i="73"/>
  <c r="J33" i="73"/>
  <c r="J27" i="73"/>
  <c r="J60" i="73"/>
  <c r="J40" i="73"/>
  <c r="J26" i="73"/>
  <c r="J62" i="73"/>
  <c r="J54" i="73"/>
  <c r="J48" i="73"/>
  <c r="J42" i="73"/>
  <c r="J36" i="73"/>
  <c r="J32" i="73"/>
  <c r="J17" i="73"/>
  <c r="J37" i="73"/>
  <c r="J24" i="73"/>
  <c r="J22" i="73"/>
  <c r="J25" i="73"/>
  <c r="J16" i="73"/>
  <c r="J51" i="73"/>
  <c r="J23" i="73"/>
  <c r="J67" i="73"/>
  <c r="J20" i="73"/>
  <c r="N12" i="73"/>
  <c r="X23" i="73"/>
  <c r="Z23" i="73" s="1"/>
  <c r="N22" i="76"/>
  <c r="Z127" i="69"/>
  <c r="Z140" i="69"/>
  <c r="N31" i="70"/>
  <c r="F34" i="70"/>
  <c r="F38" i="70"/>
  <c r="F45" i="70"/>
  <c r="N51" i="70"/>
  <c r="X53" i="70"/>
  <c r="Z53" i="70" s="1"/>
  <c r="N56" i="70"/>
  <c r="Z75" i="70"/>
  <c r="N30" i="71"/>
  <c r="N52" i="71"/>
  <c r="Z82" i="71"/>
  <c r="V23" i="73"/>
  <c r="N16" i="76"/>
  <c r="L16" i="76"/>
  <c r="X56" i="69"/>
  <c r="Z56" i="69" s="1"/>
  <c r="L86" i="69"/>
  <c r="N86" i="69" s="1"/>
  <c r="N15" i="70"/>
  <c r="Z18" i="70"/>
  <c r="N23" i="70"/>
  <c r="F32" i="70"/>
  <c r="F33" i="70"/>
  <c r="F37" i="70"/>
  <c r="F41" i="70"/>
  <c r="F50" i="70"/>
  <c r="Z72" i="70"/>
  <c r="N16" i="71"/>
  <c r="L16" i="71"/>
  <c r="Z17" i="71"/>
  <c r="N21" i="71"/>
  <c r="X32" i="71"/>
  <c r="Z32" i="71" s="1"/>
  <c r="X52" i="71"/>
  <c r="Z52" i="71" s="1"/>
  <c r="Z75" i="71"/>
  <c r="N16" i="73"/>
  <c r="H20" i="73"/>
  <c r="Z22" i="73"/>
  <c r="J74" i="73"/>
  <c r="T44" i="74"/>
  <c r="Z135" i="69"/>
  <c r="N14" i="70"/>
  <c r="H12" i="70"/>
  <c r="X15" i="70"/>
  <c r="X18" i="70"/>
  <c r="X23" i="70"/>
  <c r="Z23" i="70" s="1"/>
  <c r="L29" i="71"/>
  <c r="X46" i="73"/>
  <c r="Z49" i="73"/>
  <c r="H138" i="69"/>
  <c r="L139" i="69"/>
  <c r="N139" i="69" s="1"/>
  <c r="F52" i="70"/>
  <c r="F47" i="70"/>
  <c r="F44" i="70"/>
  <c r="F40" i="70"/>
  <c r="F31" i="70"/>
  <c r="F76" i="70"/>
  <c r="F70" i="70"/>
  <c r="F62" i="70"/>
  <c r="F58" i="70"/>
  <c r="F55" i="70"/>
  <c r="F43" i="70"/>
  <c r="F39" i="70"/>
  <c r="F26" i="70"/>
  <c r="F80" i="70"/>
  <c r="F54" i="70"/>
  <c r="F49" i="70"/>
  <c r="F46" i="70"/>
  <c r="F42" i="70"/>
  <c r="F68" i="70"/>
  <c r="F60" i="70"/>
  <c r="F51" i="70"/>
  <c r="F48" i="70"/>
  <c r="F36" i="70"/>
  <c r="F29" i="70"/>
  <c r="L12" i="70"/>
  <c r="F71" i="70"/>
  <c r="F67" i="70"/>
  <c r="F63" i="70"/>
  <c r="F59" i="70"/>
  <c r="F35" i="70"/>
  <c r="D29" i="70"/>
  <c r="F27" i="70"/>
  <c r="Z15" i="70"/>
  <c r="N20" i="71"/>
  <c r="N91" i="71"/>
  <c r="T91" i="71"/>
  <c r="Z93" i="71"/>
  <c r="X93" i="71"/>
  <c r="Z46" i="73"/>
  <c r="T110" i="66"/>
  <c r="V110" i="66" s="1"/>
  <c r="L19" i="70"/>
  <c r="Z45" i="70"/>
  <c r="X45" i="70"/>
  <c r="F53" i="70"/>
  <c r="F72" i="70"/>
  <c r="F73" i="70"/>
  <c r="F75" i="70"/>
  <c r="N76" i="70"/>
  <c r="D12" i="71"/>
  <c r="L13" i="71"/>
  <c r="X16" i="71"/>
  <c r="Z16" i="71" s="1"/>
  <c r="L20" i="71"/>
  <c r="X88" i="71"/>
  <c r="Z88" i="71" s="1"/>
  <c r="X92" i="71"/>
  <c r="Z92" i="71" s="1"/>
  <c r="P91" i="71"/>
  <c r="X91" i="71" s="1"/>
  <c r="D12" i="73"/>
  <c r="L13" i="73"/>
  <c r="T20" i="73"/>
  <c r="Z16" i="73"/>
  <c r="P138" i="69"/>
  <c r="X138" i="69" s="1"/>
  <c r="P12" i="70"/>
  <c r="T12" i="70"/>
  <c r="Z14" i="70"/>
  <c r="X41" i="70"/>
  <c r="Z41" i="70" s="1"/>
  <c r="N75" i="70"/>
  <c r="N13" i="71"/>
  <c r="N28" i="71"/>
  <c r="L53" i="71"/>
  <c r="N53" i="71" s="1"/>
  <c r="L69" i="71"/>
  <c r="V16" i="73"/>
  <c r="R17" i="73"/>
  <c r="N42" i="73"/>
  <c r="V49" i="73"/>
  <c r="N60" i="73"/>
  <c r="Z28" i="74"/>
  <c r="Z39" i="74"/>
  <c r="X39" i="74"/>
  <c r="L13" i="75"/>
  <c r="D12" i="75"/>
  <c r="N14" i="75"/>
  <c r="F72" i="76"/>
  <c r="F63" i="76"/>
  <c r="F59" i="76"/>
  <c r="F55" i="76"/>
  <c r="F43" i="76"/>
  <c r="F38" i="76"/>
  <c r="F76" i="76"/>
  <c r="F70" i="76"/>
  <c r="F62" i="76"/>
  <c r="F58" i="76"/>
  <c r="F54" i="76"/>
  <c r="F49" i="76"/>
  <c r="F46" i="76"/>
  <c r="F57" i="76"/>
  <c r="F40" i="76"/>
  <c r="F37" i="76"/>
  <c r="F67" i="76"/>
  <c r="F51" i="76"/>
  <c r="F48" i="76"/>
  <c r="F42" i="76"/>
  <c r="F39" i="76"/>
  <c r="F65" i="76"/>
  <c r="F56" i="76"/>
  <c r="F47" i="76"/>
  <c r="F28" i="76"/>
  <c r="F23" i="76"/>
  <c r="L12" i="76"/>
  <c r="F68" i="76"/>
  <c r="F50" i="76"/>
  <c r="F27" i="76"/>
  <c r="F26" i="76"/>
  <c r="D20" i="76"/>
  <c r="F18" i="76"/>
  <c r="F69" i="76"/>
  <c r="F64" i="76"/>
  <c r="F32" i="76"/>
  <c r="F25" i="76"/>
  <c r="F17" i="76"/>
  <c r="F52" i="76"/>
  <c r="F44" i="76"/>
  <c r="F36" i="76"/>
  <c r="F24" i="76"/>
  <c r="F60" i="76"/>
  <c r="F45" i="76"/>
  <c r="F35" i="76"/>
  <c r="F31" i="76"/>
  <c r="F22" i="76"/>
  <c r="F66" i="76"/>
  <c r="F33" i="76"/>
  <c r="F29" i="76"/>
  <c r="F16" i="76"/>
  <c r="R56" i="73"/>
  <c r="R52" i="73"/>
  <c r="R49" i="73"/>
  <c r="R33" i="73"/>
  <c r="R28" i="73"/>
  <c r="R69" i="73"/>
  <c r="R63" i="73"/>
  <c r="R60" i="73"/>
  <c r="R55" i="73"/>
  <c r="R43" i="73"/>
  <c r="R40" i="73"/>
  <c r="R27" i="73"/>
  <c r="R74" i="73"/>
  <c r="R67" i="73"/>
  <c r="R51" i="73"/>
  <c r="R26" i="73"/>
  <c r="R62" i="73"/>
  <c r="R54" i="73"/>
  <c r="R45" i="73"/>
  <c r="R42" i="73"/>
  <c r="R37" i="73"/>
  <c r="R25" i="73"/>
  <c r="R48" i="73"/>
  <c r="R36" i="73"/>
  <c r="R32" i="73"/>
  <c r="R24" i="73"/>
  <c r="R59" i="73"/>
  <c r="R47" i="73"/>
  <c r="R44" i="73"/>
  <c r="R39" i="73"/>
  <c r="R35" i="73"/>
  <c r="R31" i="73"/>
  <c r="R61" i="73"/>
  <c r="R57" i="73"/>
  <c r="R53" i="73"/>
  <c r="R46" i="73"/>
  <c r="R41" i="73"/>
  <c r="R38" i="73"/>
  <c r="R18" i="73"/>
  <c r="R30" i="73"/>
  <c r="V34" i="74"/>
  <c r="R31" i="75"/>
  <c r="R21" i="75"/>
  <c r="R29" i="75"/>
  <c r="R25" i="75"/>
  <c r="R20" i="75"/>
  <c r="R19" i="75"/>
  <c r="R18" i="75"/>
  <c r="R27" i="75"/>
  <c r="R23" i="75"/>
  <c r="Z16" i="75"/>
  <c r="N25" i="75"/>
  <c r="L25" i="75"/>
  <c r="J76" i="76"/>
  <c r="J70" i="76"/>
  <c r="J62" i="76"/>
  <c r="J58" i="76"/>
  <c r="J54" i="76"/>
  <c r="J46" i="76"/>
  <c r="J40" i="76"/>
  <c r="J67" i="76"/>
  <c r="J57" i="76"/>
  <c r="J51" i="76"/>
  <c r="J37" i="76"/>
  <c r="J81" i="76"/>
  <c r="J74" i="76"/>
  <c r="J48" i="76"/>
  <c r="J42" i="76"/>
  <c r="J69" i="76"/>
  <c r="J61" i="76"/>
  <c r="J53" i="76"/>
  <c r="J45" i="76"/>
  <c r="J39" i="76"/>
  <c r="J66" i="76"/>
  <c r="J56" i="76"/>
  <c r="J50" i="76"/>
  <c r="J36" i="76"/>
  <c r="J78" i="76"/>
  <c r="J72" i="76"/>
  <c r="J68" i="76"/>
  <c r="J64" i="76"/>
  <c r="J60" i="76"/>
  <c r="J52" i="76"/>
  <c r="J63" i="76"/>
  <c r="J49" i="76"/>
  <c r="J27" i="76"/>
  <c r="H20" i="76"/>
  <c r="J55" i="76"/>
  <c r="J43" i="76"/>
  <c r="J32" i="76"/>
  <c r="J26" i="76"/>
  <c r="J18" i="76"/>
  <c r="J25" i="76"/>
  <c r="J17" i="76"/>
  <c r="J59" i="76"/>
  <c r="J44" i="76"/>
  <c r="J38" i="76"/>
  <c r="J24" i="76"/>
  <c r="J22" i="76"/>
  <c r="J35" i="76"/>
  <c r="J31" i="76"/>
  <c r="J65" i="76"/>
  <c r="J41" i="76"/>
  <c r="J34" i="76"/>
  <c r="J30" i="76"/>
  <c r="J16" i="76"/>
  <c r="J28" i="76"/>
  <c r="J20" i="76"/>
  <c r="N12" i="76"/>
  <c r="Z22" i="76"/>
  <c r="X22" i="76"/>
  <c r="V69" i="73"/>
  <c r="V63" i="73"/>
  <c r="V55" i="73"/>
  <c r="V51" i="73"/>
  <c r="V43" i="73"/>
  <c r="V27" i="73"/>
  <c r="V62" i="73"/>
  <c r="V54" i="73"/>
  <c r="V42" i="73"/>
  <c r="V26" i="73"/>
  <c r="V45" i="73"/>
  <c r="V37" i="73"/>
  <c r="V25" i="73"/>
  <c r="V48" i="73"/>
  <c r="V44" i="73"/>
  <c r="V36" i="73"/>
  <c r="V32" i="73"/>
  <c r="V24" i="73"/>
  <c r="V65" i="73"/>
  <c r="V59" i="73"/>
  <c r="V47" i="73"/>
  <c r="V39" i="73"/>
  <c r="V35" i="73"/>
  <c r="V31" i="73"/>
  <c r="V58" i="73"/>
  <c r="V50" i="73"/>
  <c r="V46" i="73"/>
  <c r="V38" i="73"/>
  <c r="V34" i="73"/>
  <c r="V30" i="73"/>
  <c r="V60" i="73"/>
  <c r="V56" i="73"/>
  <c r="V52" i="73"/>
  <c r="V40" i="73"/>
  <c r="V18" i="73"/>
  <c r="V22" i="73"/>
  <c r="R29" i="73"/>
  <c r="V33" i="73"/>
  <c r="Z20" i="74"/>
  <c r="F34" i="76"/>
  <c r="X20" i="71"/>
  <c r="Z20" i="71" s="1"/>
  <c r="L24" i="71"/>
  <c r="N24" i="71" s="1"/>
  <c r="X28" i="71"/>
  <c r="Z28" i="71" s="1"/>
  <c r="L32" i="71"/>
  <c r="X12" i="73"/>
  <c r="P20" i="73"/>
  <c r="V29" i="73"/>
  <c r="L40" i="73"/>
  <c r="V41" i="73"/>
  <c r="Z30" i="74"/>
  <c r="T12" i="75"/>
  <c r="F30" i="76"/>
  <c r="J47" i="76"/>
  <c r="Z62" i="81"/>
  <c r="Z12" i="73"/>
  <c r="R20" i="73"/>
  <c r="X38" i="73"/>
  <c r="N40" i="73"/>
  <c r="R50" i="73"/>
  <c r="D44" i="74"/>
  <c r="Z26" i="74"/>
  <c r="J33" i="76"/>
  <c r="F53" i="76"/>
  <c r="F61" i="76"/>
  <c r="L22" i="79"/>
  <c r="N22" i="79" s="1"/>
  <c r="Z16" i="81"/>
  <c r="R23" i="73"/>
  <c r="Z38" i="73"/>
  <c r="V53" i="73"/>
  <c r="R71" i="73"/>
  <c r="V48" i="74"/>
  <c r="V42" i="74"/>
  <c r="V36" i="74"/>
  <c r="V32" i="74"/>
  <c r="V24" i="74"/>
  <c r="V35" i="74"/>
  <c r="V27" i="74"/>
  <c r="V23" i="74"/>
  <c r="V19" i="74"/>
  <c r="V15" i="74"/>
  <c r="V38" i="74"/>
  <c r="V26" i="74"/>
  <c r="V22" i="74"/>
  <c r="V14" i="74"/>
  <c r="V37" i="74"/>
  <c r="V29" i="74"/>
  <c r="V21" i="74"/>
  <c r="V51" i="74"/>
  <c r="V46" i="74"/>
  <c r="V44" i="74"/>
  <c r="V40" i="74"/>
  <c r="V28" i="74"/>
  <c r="V20" i="74"/>
  <c r="Z12" i="74"/>
  <c r="V39" i="74"/>
  <c r="V31" i="74"/>
  <c r="V17" i="74"/>
  <c r="V33" i="74"/>
  <c r="V25" i="74"/>
  <c r="R56" i="76"/>
  <c r="R39" i="76"/>
  <c r="R36" i="76"/>
  <c r="R66" i="76"/>
  <c r="R50" i="76"/>
  <c r="R47" i="76"/>
  <c r="R72" i="76"/>
  <c r="R65" i="76"/>
  <c r="R41" i="76"/>
  <c r="R38" i="76"/>
  <c r="R68" i="76"/>
  <c r="R64" i="76"/>
  <c r="R60" i="76"/>
  <c r="R52" i="76"/>
  <c r="R49" i="76"/>
  <c r="R44" i="76"/>
  <c r="R63" i="76"/>
  <c r="R59" i="76"/>
  <c r="R55" i="76"/>
  <c r="R43" i="76"/>
  <c r="R40" i="76"/>
  <c r="R35" i="76"/>
  <c r="R57" i="76"/>
  <c r="R69" i="76"/>
  <c r="R24" i="76"/>
  <c r="R31" i="76"/>
  <c r="R16" i="76"/>
  <c r="R61" i="76"/>
  <c r="R53" i="76"/>
  <c r="R45" i="76"/>
  <c r="R37" i="76"/>
  <c r="R34" i="76"/>
  <c r="R30" i="76"/>
  <c r="R23" i="76"/>
  <c r="R70" i="76"/>
  <c r="R33" i="76"/>
  <c r="R29" i="76"/>
  <c r="R20" i="76"/>
  <c r="R67" i="76"/>
  <c r="R62" i="76"/>
  <c r="R54" i="76"/>
  <c r="R42" i="76"/>
  <c r="R28" i="76"/>
  <c r="P20" i="76"/>
  <c r="X12" i="76"/>
  <c r="R76" i="76"/>
  <c r="R48" i="76"/>
  <c r="R46" i="76"/>
  <c r="R32" i="76"/>
  <c r="R27" i="76"/>
  <c r="R58" i="76"/>
  <c r="R51" i="76"/>
  <c r="R25" i="76"/>
  <c r="R22" i="76"/>
  <c r="R17" i="76"/>
  <c r="J23" i="76"/>
  <c r="J29" i="76"/>
  <c r="F41" i="76"/>
  <c r="H12" i="77"/>
  <c r="R17" i="74"/>
  <c r="R34" i="74"/>
  <c r="R39" i="74"/>
  <c r="L13" i="77"/>
  <c r="N13" i="77" s="1"/>
  <c r="T12" i="77"/>
  <c r="X15" i="77"/>
  <c r="Z15" i="77" s="1"/>
  <c r="Z94" i="77"/>
  <c r="R71" i="79"/>
  <c r="R64" i="79"/>
  <c r="R74" i="79"/>
  <c r="R70" i="79"/>
  <c r="R69" i="79"/>
  <c r="R61" i="79"/>
  <c r="R53" i="79"/>
  <c r="R79" i="79"/>
  <c r="R76" i="79"/>
  <c r="R73" i="79"/>
  <c r="R68" i="79"/>
  <c r="R60" i="79"/>
  <c r="R56" i="79"/>
  <c r="R83" i="79"/>
  <c r="R65" i="79"/>
  <c r="R62" i="79"/>
  <c r="R54" i="79"/>
  <c r="R72" i="79"/>
  <c r="R67" i="79"/>
  <c r="R51" i="79"/>
  <c r="R48" i="79"/>
  <c r="R32" i="79"/>
  <c r="R27" i="79"/>
  <c r="R55" i="79"/>
  <c r="R42" i="79"/>
  <c r="R39" i="79"/>
  <c r="R26" i="79"/>
  <c r="R18" i="79"/>
  <c r="R75" i="79"/>
  <c r="R50" i="79"/>
  <c r="R45" i="79"/>
  <c r="R25" i="79"/>
  <c r="R22" i="79"/>
  <c r="R17" i="79"/>
  <c r="R63" i="79"/>
  <c r="R44" i="79"/>
  <c r="R41" i="79"/>
  <c r="R36" i="79"/>
  <c r="R24" i="79"/>
  <c r="R57" i="79"/>
  <c r="R47" i="79"/>
  <c r="R35" i="79"/>
  <c r="R31" i="79"/>
  <c r="R16" i="79"/>
  <c r="R52" i="79"/>
  <c r="R49" i="79"/>
  <c r="R46" i="79"/>
  <c r="R33" i="79"/>
  <c r="R29" i="79"/>
  <c r="R20" i="79"/>
  <c r="R37" i="79"/>
  <c r="Z48" i="79"/>
  <c r="L51" i="73"/>
  <c r="X12" i="74"/>
  <c r="J23" i="74"/>
  <c r="J27" i="74"/>
  <c r="X30" i="74"/>
  <c r="L32" i="74"/>
  <c r="F36" i="74"/>
  <c r="R37" i="74"/>
  <c r="F39" i="74"/>
  <c r="R40" i="74"/>
  <c r="L42" i="74"/>
  <c r="R46" i="74"/>
  <c r="V78" i="76"/>
  <c r="V72" i="76"/>
  <c r="V66" i="76"/>
  <c r="V50" i="76"/>
  <c r="V38" i="76"/>
  <c r="V65" i="76"/>
  <c r="V49" i="76"/>
  <c r="V41" i="76"/>
  <c r="V68" i="76"/>
  <c r="V64" i="76"/>
  <c r="V60" i="76"/>
  <c r="V52" i="76"/>
  <c r="V44" i="76"/>
  <c r="V40" i="76"/>
  <c r="V67" i="76"/>
  <c r="V63" i="76"/>
  <c r="V59" i="76"/>
  <c r="V55" i="76"/>
  <c r="V51" i="76"/>
  <c r="V43" i="76"/>
  <c r="V81" i="76"/>
  <c r="V76" i="76"/>
  <c r="V74" i="76"/>
  <c r="V70" i="76"/>
  <c r="V62" i="76"/>
  <c r="V58" i="76"/>
  <c r="V54" i="76"/>
  <c r="V46" i="76"/>
  <c r="V42" i="76"/>
  <c r="V56" i="76"/>
  <c r="V48" i="76"/>
  <c r="V18" i="76"/>
  <c r="V22" i="76"/>
  <c r="L23" i="76"/>
  <c r="V26" i="76"/>
  <c r="N38" i="77"/>
  <c r="Z13" i="78"/>
  <c r="T12" i="78"/>
  <c r="T12" i="79"/>
  <c r="X13" i="79"/>
  <c r="X14" i="79"/>
  <c r="Z52" i="79"/>
  <c r="R39" i="80"/>
  <c r="R32" i="80"/>
  <c r="R30" i="80"/>
  <c r="R26" i="80"/>
  <c r="R23" i="80"/>
  <c r="R18" i="80"/>
  <c r="R14" i="80"/>
  <c r="R28" i="80"/>
  <c r="R25" i="80"/>
  <c r="R20" i="80"/>
  <c r="X12" i="80"/>
  <c r="R27" i="80"/>
  <c r="R34" i="80"/>
  <c r="R24" i="80"/>
  <c r="R21" i="80"/>
  <c r="P16" i="80"/>
  <c r="R22" i="80"/>
  <c r="R19" i="80"/>
  <c r="R36" i="80"/>
  <c r="Z21" i="80"/>
  <c r="R14" i="74"/>
  <c r="H17" i="74"/>
  <c r="L17" i="74" s="1"/>
  <c r="F20" i="74"/>
  <c r="R21" i="74"/>
  <c r="J24" i="74"/>
  <c r="F25" i="74"/>
  <c r="R26" i="74"/>
  <c r="F28" i="74"/>
  <c r="R29" i="74"/>
  <c r="J30" i="74"/>
  <c r="F33" i="74"/>
  <c r="J36" i="74"/>
  <c r="F44" i="74"/>
  <c r="F51" i="74"/>
  <c r="V27" i="76"/>
  <c r="N45" i="76"/>
  <c r="Z32" i="77"/>
  <c r="Z33" i="77"/>
  <c r="N49" i="77"/>
  <c r="P12" i="78"/>
  <c r="F67" i="79"/>
  <c r="F63" i="79"/>
  <c r="F59" i="79"/>
  <c r="F55" i="79"/>
  <c r="F79" i="79"/>
  <c r="F73" i="79"/>
  <c r="F66" i="79"/>
  <c r="F58" i="79"/>
  <c r="F83" i="79"/>
  <c r="F65" i="79"/>
  <c r="F52" i="79"/>
  <c r="F75" i="79"/>
  <c r="F72" i="79"/>
  <c r="F78" i="79"/>
  <c r="F69" i="79"/>
  <c r="F64" i="79"/>
  <c r="F61" i="79"/>
  <c r="F53" i="79"/>
  <c r="F70" i="79"/>
  <c r="F50" i="79"/>
  <c r="F47" i="79"/>
  <c r="F35" i="79"/>
  <c r="F31" i="79"/>
  <c r="F22" i="79"/>
  <c r="F71" i="79"/>
  <c r="F60" i="79"/>
  <c r="F41" i="79"/>
  <c r="F38" i="79"/>
  <c r="F34" i="79"/>
  <c r="F30" i="79"/>
  <c r="F54" i="79"/>
  <c r="F49" i="79"/>
  <c r="F33" i="79"/>
  <c r="F29" i="79"/>
  <c r="F16" i="79"/>
  <c r="F43" i="79"/>
  <c r="F40" i="79"/>
  <c r="F28" i="79"/>
  <c r="F23" i="79"/>
  <c r="L12" i="79"/>
  <c r="F74" i="79"/>
  <c r="F68" i="79"/>
  <c r="F62" i="79"/>
  <c r="F51" i="79"/>
  <c r="F46" i="79"/>
  <c r="F27" i="79"/>
  <c r="F20" i="79"/>
  <c r="F48" i="79"/>
  <c r="F45" i="79"/>
  <c r="F32" i="79"/>
  <c r="F25" i="79"/>
  <c r="F17" i="79"/>
  <c r="Z13" i="79"/>
  <c r="R23" i="79"/>
  <c r="R30" i="79"/>
  <c r="R34" i="79"/>
  <c r="F39" i="79"/>
  <c r="F42" i="79"/>
  <c r="L50" i="79"/>
  <c r="F56" i="79"/>
  <c r="N39" i="81"/>
  <c r="L39" i="81"/>
  <c r="J17" i="74"/>
  <c r="R19" i="74"/>
  <c r="R22" i="74"/>
  <c r="J25" i="74"/>
  <c r="J33" i="74"/>
  <c r="F34" i="74"/>
  <c r="R35" i="74"/>
  <c r="F37" i="74"/>
  <c r="R38" i="74"/>
  <c r="J39" i="74"/>
  <c r="Z12" i="76"/>
  <c r="V28" i="76"/>
  <c r="V32" i="76"/>
  <c r="Z42" i="76"/>
  <c r="V47" i="76"/>
  <c r="L56" i="76"/>
  <c r="N56" i="76" s="1"/>
  <c r="V57" i="76"/>
  <c r="Z67" i="76"/>
  <c r="N21" i="77"/>
  <c r="X25" i="77"/>
  <c r="Z25" i="77" s="1"/>
  <c r="L29" i="77"/>
  <c r="Z38" i="77"/>
  <c r="Z67" i="77"/>
  <c r="Z75" i="77"/>
  <c r="Z83" i="77"/>
  <c r="F16" i="78"/>
  <c r="F23" i="78"/>
  <c r="L12" i="78"/>
  <c r="F37" i="78"/>
  <c r="F30" i="78"/>
  <c r="F20" i="78"/>
  <c r="F25" i="78"/>
  <c r="D20" i="78"/>
  <c r="F18" i="78"/>
  <c r="F17" i="78"/>
  <c r="F34" i="78"/>
  <c r="F28" i="78"/>
  <c r="F22" i="78"/>
  <c r="L16" i="78"/>
  <c r="F26" i="78"/>
  <c r="X12" i="79"/>
  <c r="F37" i="79"/>
  <c r="J41" i="79"/>
  <c r="J45" i="79"/>
  <c r="X46" i="79"/>
  <c r="R15" i="74"/>
  <c r="J20" i="74"/>
  <c r="R23" i="74"/>
  <c r="F26" i="74"/>
  <c r="R27" i="74"/>
  <c r="J28" i="74"/>
  <c r="F31" i="74"/>
  <c r="R32" i="74"/>
  <c r="J34" i="74"/>
  <c r="R42" i="74"/>
  <c r="J44" i="74"/>
  <c r="R48" i="74"/>
  <c r="J51" i="74"/>
  <c r="T20" i="76"/>
  <c r="V29" i="76"/>
  <c r="V33" i="76"/>
  <c r="L38" i="76"/>
  <c r="V39" i="76"/>
  <c r="D12" i="77"/>
  <c r="X17" i="77"/>
  <c r="Z17" i="77" s="1"/>
  <c r="Z24" i="77"/>
  <c r="D20" i="79"/>
  <c r="F36" i="79"/>
  <c r="R43" i="79"/>
  <c r="R66" i="79"/>
  <c r="N15" i="84"/>
  <c r="L15" i="84"/>
  <c r="L12" i="74"/>
  <c r="F19" i="74"/>
  <c r="R24" i="74"/>
  <c r="J31" i="74"/>
  <c r="F35" i="74"/>
  <c r="R36" i="74"/>
  <c r="J37" i="74"/>
  <c r="F40" i="74"/>
  <c r="F46" i="74"/>
  <c r="V20" i="76"/>
  <c r="V30" i="76"/>
  <c r="V34" i="76"/>
  <c r="V35" i="76"/>
  <c r="V37" i="76"/>
  <c r="Z16" i="77"/>
  <c r="N20" i="77"/>
  <c r="P20" i="79"/>
  <c r="F24" i="79"/>
  <c r="R38" i="79"/>
  <c r="R40" i="79"/>
  <c r="P68" i="81"/>
  <c r="X69" i="81"/>
  <c r="N12" i="74"/>
  <c r="J14" i="74"/>
  <c r="P17" i="74"/>
  <c r="F21" i="74"/>
  <c r="R25" i="74"/>
  <c r="J26" i="74"/>
  <c r="F29" i="74"/>
  <c r="R30" i="74"/>
  <c r="F32" i="74"/>
  <c r="J40" i="74"/>
  <c r="F42" i="74"/>
  <c r="V23" i="76"/>
  <c r="V31" i="76"/>
  <c r="V45" i="76"/>
  <c r="V53" i="76"/>
  <c r="Z56" i="76"/>
  <c r="V61" i="76"/>
  <c r="Z23" i="77"/>
  <c r="J37" i="78"/>
  <c r="J30" i="78"/>
  <c r="J20" i="78"/>
  <c r="N12" i="78"/>
  <c r="J25" i="78"/>
  <c r="H20" i="78"/>
  <c r="J18" i="78"/>
  <c r="J17" i="78"/>
  <c r="J34" i="78"/>
  <c r="J28" i="78"/>
  <c r="J24" i="78"/>
  <c r="J22" i="78"/>
  <c r="J32" i="78"/>
  <c r="J26" i="78"/>
  <c r="J16" i="78"/>
  <c r="J66" i="79"/>
  <c r="J58" i="79"/>
  <c r="J83" i="79"/>
  <c r="J75" i="79"/>
  <c r="J65" i="79"/>
  <c r="J72" i="79"/>
  <c r="J62" i="79"/>
  <c r="J54" i="79"/>
  <c r="J88" i="79"/>
  <c r="J81" i="79"/>
  <c r="J71" i="79"/>
  <c r="J57" i="79"/>
  <c r="J76" i="79"/>
  <c r="J68" i="79"/>
  <c r="J60" i="79"/>
  <c r="J56" i="79"/>
  <c r="J59" i="79"/>
  <c r="J38" i="79"/>
  <c r="J34" i="79"/>
  <c r="J30" i="79"/>
  <c r="J16" i="79"/>
  <c r="J78" i="79"/>
  <c r="J53" i="79"/>
  <c r="J52" i="79"/>
  <c r="J49" i="79"/>
  <c r="J43" i="79"/>
  <c r="J33" i="79"/>
  <c r="J29" i="79"/>
  <c r="J23" i="79"/>
  <c r="J79" i="79"/>
  <c r="J73" i="79"/>
  <c r="J46" i="79"/>
  <c r="J40" i="79"/>
  <c r="J28" i="79"/>
  <c r="J20" i="79"/>
  <c r="N12" i="79"/>
  <c r="J85" i="79"/>
  <c r="J74" i="79"/>
  <c r="J67" i="79"/>
  <c r="J61" i="79"/>
  <c r="J51" i="79"/>
  <c r="J37" i="79"/>
  <c r="J27" i="79"/>
  <c r="H20" i="79"/>
  <c r="J55" i="79"/>
  <c r="J48" i="79"/>
  <c r="J42" i="79"/>
  <c r="J32" i="79"/>
  <c r="J26" i="79"/>
  <c r="J18" i="79"/>
  <c r="J69" i="79"/>
  <c r="J63" i="79"/>
  <c r="J50" i="79"/>
  <c r="J44" i="79"/>
  <c r="J36" i="79"/>
  <c r="J24" i="79"/>
  <c r="J22" i="79"/>
  <c r="R28" i="79"/>
  <c r="J31" i="79"/>
  <c r="J35" i="79"/>
  <c r="J47" i="79"/>
  <c r="R59" i="79"/>
  <c r="J70" i="79"/>
  <c r="F76" i="79"/>
  <c r="N57" i="79"/>
  <c r="L23" i="80"/>
  <c r="T36" i="80"/>
  <c r="Z36" i="81"/>
  <c r="X62" i="81"/>
  <c r="N28" i="82"/>
  <c r="X19" i="84"/>
  <c r="Z19" i="84" s="1"/>
  <c r="P12" i="77"/>
  <c r="Z19" i="80"/>
  <c r="N18" i="81"/>
  <c r="Z34" i="81"/>
  <c r="Z65" i="81"/>
  <c r="X65" i="81"/>
  <c r="Z29" i="83"/>
  <c r="X64" i="79"/>
  <c r="Z64" i="79" s="1"/>
  <c r="D16" i="81"/>
  <c r="H33" i="82"/>
  <c r="N16" i="82"/>
  <c r="Z75" i="79"/>
  <c r="N21" i="80"/>
  <c r="V29" i="84"/>
  <c r="V21" i="84"/>
  <c r="V28" i="84"/>
  <c r="V20" i="84"/>
  <c r="V15" i="84"/>
  <c r="V36" i="84"/>
  <c r="V24" i="84"/>
  <c r="V19" i="84"/>
  <c r="V26" i="84"/>
  <c r="V22" i="84"/>
  <c r="V23" i="84"/>
  <c r="T17" i="84"/>
  <c r="V25" i="84"/>
  <c r="V27" i="84"/>
  <c r="V30" i="84"/>
  <c r="V32" i="84"/>
  <c r="X54" i="79"/>
  <c r="Z54" i="79" s="1"/>
  <c r="L57" i="79"/>
  <c r="X79" i="79"/>
  <c r="P78" i="79"/>
  <c r="X78" i="79" s="1"/>
  <c r="L16" i="80"/>
  <c r="D32" i="80"/>
  <c r="X21" i="80"/>
  <c r="L45" i="81"/>
  <c r="N45" i="81" s="1"/>
  <c r="Z49" i="81"/>
  <c r="Z31" i="83"/>
  <c r="F20" i="80"/>
  <c r="F23" i="80"/>
  <c r="V23" i="80"/>
  <c r="F28" i="80"/>
  <c r="V30" i="80"/>
  <c r="F68" i="81"/>
  <c r="F63" i="81"/>
  <c r="F35" i="81"/>
  <c r="F31" i="81"/>
  <c r="F27" i="81"/>
  <c r="F18" i="81"/>
  <c r="F14" i="81"/>
  <c r="F66" i="81"/>
  <c r="F57" i="81"/>
  <c r="F53" i="81"/>
  <c r="F49" i="81"/>
  <c r="F46" i="81"/>
  <c r="F41" i="81"/>
  <c r="F38" i="81"/>
  <c r="F30" i="81"/>
  <c r="F26" i="81"/>
  <c r="F69" i="81"/>
  <c r="F56" i="81"/>
  <c r="F52" i="81"/>
  <c r="F48" i="81"/>
  <c r="F43" i="81"/>
  <c r="F40" i="81"/>
  <c r="F24" i="81"/>
  <c r="F19" i="81"/>
  <c r="F62" i="81"/>
  <c r="F59" i="81"/>
  <c r="F55" i="81"/>
  <c r="N16" i="81"/>
  <c r="H72" i="81"/>
  <c r="R18" i="81"/>
  <c r="F25" i="81"/>
  <c r="R30" i="81"/>
  <c r="R31" i="81"/>
  <c r="R33" i="81"/>
  <c r="X34" i="81"/>
  <c r="R38" i="81"/>
  <c r="L43" i="81"/>
  <c r="F44" i="81"/>
  <c r="F45" i="81"/>
  <c r="X49" i="81"/>
  <c r="V59" i="81"/>
  <c r="R61" i="81"/>
  <c r="R62" i="81"/>
  <c r="V65" i="81"/>
  <c r="F27" i="82"/>
  <c r="F16" i="82"/>
  <c r="F37" i="82"/>
  <c r="F31" i="82"/>
  <c r="F21" i="82"/>
  <c r="D16" i="82"/>
  <c r="F23" i="82"/>
  <c r="F20" i="82"/>
  <c r="L12" i="82"/>
  <c r="F26" i="82"/>
  <c r="F18" i="82"/>
  <c r="F14" i="82"/>
  <c r="F28" i="82"/>
  <c r="F25" i="82"/>
  <c r="X18" i="82"/>
  <c r="Z18" i="82" s="1"/>
  <c r="Z23" i="82"/>
  <c r="L36" i="83"/>
  <c r="D34" i="84"/>
  <c r="F81" i="85"/>
  <c r="F75" i="85"/>
  <c r="F72" i="85"/>
  <c r="F59" i="85"/>
  <c r="F44" i="85"/>
  <c r="F39" i="85"/>
  <c r="F36" i="85"/>
  <c r="F24" i="85"/>
  <c r="F85" i="85"/>
  <c r="F71" i="85"/>
  <c r="F66" i="85"/>
  <c r="F77" i="85"/>
  <c r="F74" i="85"/>
  <c r="F70" i="85"/>
  <c r="F62" i="85"/>
  <c r="F58" i="85"/>
  <c r="F41" i="85"/>
  <c r="F38" i="85"/>
  <c r="F34" i="85"/>
  <c r="F30" i="85"/>
  <c r="F76" i="85"/>
  <c r="F68" i="85"/>
  <c r="F60" i="85"/>
  <c r="F43" i="85"/>
  <c r="F40" i="85"/>
  <c r="F28" i="85"/>
  <c r="F23" i="85"/>
  <c r="F80" i="85"/>
  <c r="F67" i="85"/>
  <c r="F54" i="85"/>
  <c r="F51" i="85"/>
  <c r="F46" i="85"/>
  <c r="F27" i="85"/>
  <c r="F20" i="85"/>
  <c r="F78" i="85"/>
  <c r="F29" i="85"/>
  <c r="D20" i="85"/>
  <c r="F50" i="85"/>
  <c r="F47" i="85"/>
  <c r="F45" i="85"/>
  <c r="F25" i="85"/>
  <c r="F22" i="85"/>
  <c r="F73" i="85"/>
  <c r="F69" i="85"/>
  <c r="F61" i="85"/>
  <c r="F49" i="85"/>
  <c r="F48" i="85"/>
  <c r="F33" i="85"/>
  <c r="F63" i="85"/>
  <c r="F32" i="85"/>
  <c r="F65" i="85"/>
  <c r="F64" i="85"/>
  <c r="F57" i="85"/>
  <c r="F42" i="85"/>
  <c r="F35" i="85"/>
  <c r="F18" i="85"/>
  <c r="F16" i="85"/>
  <c r="F37" i="85"/>
  <c r="N41" i="85"/>
  <c r="L64" i="85"/>
  <c r="N47" i="81"/>
  <c r="Z60" i="81"/>
  <c r="P16" i="82"/>
  <c r="X14" i="82"/>
  <c r="D42" i="83"/>
  <c r="J29" i="84"/>
  <c r="J25" i="84"/>
  <c r="J38" i="84"/>
  <c r="J32" i="84"/>
  <c r="J22" i="84"/>
  <c r="J28" i="84"/>
  <c r="J34" i="84"/>
  <c r="J27" i="84"/>
  <c r="J23" i="84"/>
  <c r="J36" i="84"/>
  <c r="J26" i="84"/>
  <c r="J20" i="84"/>
  <c r="H17" i="84"/>
  <c r="J24" i="84"/>
  <c r="J15" i="84"/>
  <c r="V81" i="85"/>
  <c r="V75" i="85"/>
  <c r="V67" i="85"/>
  <c r="V59" i="85"/>
  <c r="V51" i="85"/>
  <c r="V39" i="85"/>
  <c r="V27" i="85"/>
  <c r="V78" i="85"/>
  <c r="V66" i="85"/>
  <c r="V77" i="85"/>
  <c r="V53" i="85"/>
  <c r="V45" i="85"/>
  <c r="V41" i="85"/>
  <c r="V25" i="85"/>
  <c r="V17" i="85"/>
  <c r="V85" i="85"/>
  <c r="V71" i="85"/>
  <c r="V63" i="85"/>
  <c r="V55" i="85"/>
  <c r="V47" i="85"/>
  <c r="V43" i="85"/>
  <c r="V35" i="85"/>
  <c r="V31" i="85"/>
  <c r="V23" i="85"/>
  <c r="V80" i="85"/>
  <c r="V74" i="85"/>
  <c r="V70" i="85"/>
  <c r="V62" i="85"/>
  <c r="V58" i="85"/>
  <c r="V54" i="85"/>
  <c r="V46" i="85"/>
  <c r="V38" i="85"/>
  <c r="V34" i="85"/>
  <c r="V30" i="85"/>
  <c r="V20" i="85"/>
  <c r="V52" i="85"/>
  <c r="V33" i="85"/>
  <c r="V16" i="85"/>
  <c r="V64" i="85"/>
  <c r="V56" i="85"/>
  <c r="V40" i="85"/>
  <c r="V76" i="85"/>
  <c r="V65" i="85"/>
  <c r="V57" i="85"/>
  <c r="V50" i="85"/>
  <c r="V42" i="85"/>
  <c r="V28" i="85"/>
  <c r="V18" i="85"/>
  <c r="T20" i="85"/>
  <c r="V69" i="85"/>
  <c r="V49" i="85"/>
  <c r="V32" i="85"/>
  <c r="V24" i="85"/>
  <c r="V44" i="85"/>
  <c r="V68" i="85"/>
  <c r="V16" i="80"/>
  <c r="V22" i="80"/>
  <c r="L30" i="80"/>
  <c r="V39" i="80"/>
  <c r="X19" i="81"/>
  <c r="Z19" i="81" s="1"/>
  <c r="R40" i="81"/>
  <c r="F51" i="81"/>
  <c r="V60" i="81"/>
  <c r="N65" i="81"/>
  <c r="Z69" i="81"/>
  <c r="F74" i="81"/>
  <c r="F76" i="81"/>
  <c r="H38" i="83"/>
  <c r="V36" i="85"/>
  <c r="V48" i="85"/>
  <c r="Z59" i="85"/>
  <c r="V61" i="85"/>
  <c r="V72" i="85"/>
  <c r="F19" i="80"/>
  <c r="V19" i="80"/>
  <c r="F24" i="80"/>
  <c r="F27" i="80"/>
  <c r="V27" i="80"/>
  <c r="F36" i="80"/>
  <c r="R76" i="81"/>
  <c r="R70" i="81"/>
  <c r="R59" i="81"/>
  <c r="R55" i="81"/>
  <c r="R51" i="81"/>
  <c r="R36" i="81"/>
  <c r="R28" i="81"/>
  <c r="R23" i="81"/>
  <c r="R58" i="81"/>
  <c r="R54" i="81"/>
  <c r="R50" i="81"/>
  <c r="R47" i="81"/>
  <c r="R42" i="81"/>
  <c r="R39" i="81"/>
  <c r="R22" i="81"/>
  <c r="R74" i="81"/>
  <c r="R64" i="81"/>
  <c r="R57" i="81"/>
  <c r="R53" i="81"/>
  <c r="R49" i="81"/>
  <c r="R44" i="81"/>
  <c r="R41" i="81"/>
  <c r="R32" i="81"/>
  <c r="R20" i="81"/>
  <c r="X12" i="81"/>
  <c r="R79" i="81"/>
  <c r="R72" i="81"/>
  <c r="R63" i="81"/>
  <c r="R60" i="81"/>
  <c r="F21" i="81"/>
  <c r="X28" i="81"/>
  <c r="Z28" i="81" s="1"/>
  <c r="F32" i="81"/>
  <c r="F33" i="81"/>
  <c r="X36" i="81"/>
  <c r="V39" i="81"/>
  <c r="V40" i="81"/>
  <c r="R43" i="81"/>
  <c r="V44" i="81"/>
  <c r="R45" i="81"/>
  <c r="V46" i="81"/>
  <c r="L47" i="81"/>
  <c r="F50" i="81"/>
  <c r="R52" i="81"/>
  <c r="R66" i="81"/>
  <c r="N16" i="83"/>
  <c r="L33" i="83"/>
  <c r="J21" i="84"/>
  <c r="Z24" i="84"/>
  <c r="J41" i="84"/>
  <c r="N14" i="85"/>
  <c r="L14" i="85"/>
  <c r="V73" i="85"/>
  <c r="Z64" i="86"/>
  <c r="T63" i="86"/>
  <c r="X64" i="86"/>
  <c r="Z12" i="80"/>
  <c r="V20" i="80"/>
  <c r="V28" i="80"/>
  <c r="F39" i="80"/>
  <c r="V68" i="81"/>
  <c r="V58" i="81"/>
  <c r="V54" i="81"/>
  <c r="V50" i="81"/>
  <c r="V42" i="81"/>
  <c r="V22" i="81"/>
  <c r="V18" i="81"/>
  <c r="V14" i="81"/>
  <c r="V61" i="81"/>
  <c r="V57" i="81"/>
  <c r="V53" i="81"/>
  <c r="V49" i="81"/>
  <c r="V41" i="81"/>
  <c r="V33" i="81"/>
  <c r="V21" i="81"/>
  <c r="V69" i="81"/>
  <c r="V63" i="81"/>
  <c r="V43" i="81"/>
  <c r="V35" i="81"/>
  <c r="V31" i="81"/>
  <c r="V27" i="81"/>
  <c r="V19" i="81"/>
  <c r="V66" i="81"/>
  <c r="V62" i="81"/>
  <c r="R14" i="81"/>
  <c r="P16" i="81"/>
  <c r="L18" i="81"/>
  <c r="F20" i="81"/>
  <c r="F28" i="81"/>
  <c r="F34" i="81"/>
  <c r="F36" i="81"/>
  <c r="Z43" i="81"/>
  <c r="Z45" i="81"/>
  <c r="V52" i="81"/>
  <c r="F60" i="81"/>
  <c r="F61" i="81"/>
  <c r="X70" i="81"/>
  <c r="Z70" i="81" s="1"/>
  <c r="V79" i="81"/>
  <c r="X26" i="82"/>
  <c r="Z26" i="82" s="1"/>
  <c r="Z28" i="82"/>
  <c r="J27" i="83"/>
  <c r="J19" i="83"/>
  <c r="J42" i="83"/>
  <c r="J36" i="83"/>
  <c r="J32" i="83"/>
  <c r="J24" i="83"/>
  <c r="J16" i="83"/>
  <c r="J40" i="83"/>
  <c r="J34" i="83"/>
  <c r="J26" i="83"/>
  <c r="J22" i="83"/>
  <c r="J31" i="83"/>
  <c r="J21" i="83"/>
  <c r="J33" i="83"/>
  <c r="J25" i="83"/>
  <c r="L12" i="83"/>
  <c r="J14" i="83"/>
  <c r="J29" i="83"/>
  <c r="J30" i="83"/>
  <c r="F36" i="84"/>
  <c r="F30" i="84"/>
  <c r="F28" i="84"/>
  <c r="F25" i="84"/>
  <c r="F20" i="84"/>
  <c r="F29" i="84"/>
  <c r="F24" i="84"/>
  <c r="F15" i="84"/>
  <c r="L12" i="84"/>
  <c r="F19" i="84"/>
  <c r="F34" i="84"/>
  <c r="F32" i="84"/>
  <c r="F22" i="84"/>
  <c r="F21" i="84"/>
  <c r="F17" i="84"/>
  <c r="F38" i="84"/>
  <c r="X13" i="84"/>
  <c r="Z13" i="84" s="1"/>
  <c r="P12" i="84"/>
  <c r="F26" i="84"/>
  <c r="V29" i="85"/>
  <c r="V37" i="85"/>
  <c r="F52" i="85"/>
  <c r="F22" i="80"/>
  <c r="F25" i="80"/>
  <c r="Z12" i="81"/>
  <c r="R16" i="81"/>
  <c r="F39" i="81"/>
  <c r="V45" i="81"/>
  <c r="R48" i="81"/>
  <c r="V51" i="81"/>
  <c r="X53" i="81"/>
  <c r="Z53" i="81" s="1"/>
  <c r="V64" i="81"/>
  <c r="R65" i="81"/>
  <c r="L69" i="81"/>
  <c r="L70" i="81"/>
  <c r="N70" i="81" s="1"/>
  <c r="F72" i="81"/>
  <c r="N18" i="82"/>
  <c r="F22" i="82"/>
  <c r="F33" i="82"/>
  <c r="F40" i="82"/>
  <c r="P16" i="83"/>
  <c r="X14" i="83"/>
  <c r="T45" i="83"/>
  <c r="J23" i="83"/>
  <c r="L25" i="83"/>
  <c r="N12" i="84"/>
  <c r="J19" i="84"/>
  <c r="J30" i="84"/>
  <c r="F17" i="85"/>
  <c r="V26" i="85"/>
  <c r="F53" i="85"/>
  <c r="F56" i="85"/>
  <c r="X63" i="86"/>
  <c r="P32" i="88"/>
  <c r="P30" i="89"/>
  <c r="X16" i="89"/>
  <c r="H12" i="85"/>
  <c r="N23" i="85"/>
  <c r="Z37" i="85"/>
  <c r="N43" i="85"/>
  <c r="X73" i="85"/>
  <c r="Z73" i="85" s="1"/>
  <c r="X38" i="86"/>
  <c r="Z38" i="86" s="1"/>
  <c r="Z50" i="86"/>
  <c r="X50" i="86"/>
  <c r="N60" i="86"/>
  <c r="L60" i="86"/>
  <c r="P47" i="90"/>
  <c r="N31" i="90"/>
  <c r="L31" i="90"/>
  <c r="V54" i="95"/>
  <c r="V46" i="95"/>
  <c r="V72" i="95"/>
  <c r="V75" i="95"/>
  <c r="V71" i="95"/>
  <c r="V59" i="95"/>
  <c r="V74" i="95"/>
  <c r="V70" i="95"/>
  <c r="V66" i="95"/>
  <c r="V62" i="95"/>
  <c r="V58" i="95"/>
  <c r="V50" i="95"/>
  <c r="V42" i="95"/>
  <c r="V85" i="95"/>
  <c r="V65" i="95"/>
  <c r="V47" i="95"/>
  <c r="V39" i="95"/>
  <c r="V27" i="95"/>
  <c r="V23" i="95"/>
  <c r="V19" i="95"/>
  <c r="V88" i="95"/>
  <c r="V55" i="95"/>
  <c r="V53" i="95"/>
  <c r="V52" i="95"/>
  <c r="V45" i="95"/>
  <c r="V44" i="95"/>
  <c r="V38" i="95"/>
  <c r="V26" i="95"/>
  <c r="V18" i="95"/>
  <c r="V79" i="95"/>
  <c r="V73" i="95"/>
  <c r="V81" i="95"/>
  <c r="V51" i="95"/>
  <c r="V43" i="95"/>
  <c r="V35" i="95"/>
  <c r="V31" i="95"/>
  <c r="V21" i="95"/>
  <c r="V77" i="95"/>
  <c r="V67" i="95"/>
  <c r="V60" i="95"/>
  <c r="V57" i="95"/>
  <c r="V56" i="95"/>
  <c r="V29" i="95"/>
  <c r="V83" i="95"/>
  <c r="V69" i="95"/>
  <c r="V68" i="95"/>
  <c r="V64" i="95"/>
  <c r="V61" i="95"/>
  <c r="V28" i="95"/>
  <c r="Z12" i="95"/>
  <c r="V49" i="95"/>
  <c r="V25" i="95"/>
  <c r="V36" i="95"/>
  <c r="V30" i="95"/>
  <c r="V63" i="95"/>
  <c r="V37" i="95"/>
  <c r="V76" i="95"/>
  <c r="V48" i="95"/>
  <c r="V17" i="95"/>
  <c r="V24" i="95"/>
  <c r="V40" i="95"/>
  <c r="V32" i="95"/>
  <c r="V34" i="95"/>
  <c r="V41" i="95"/>
  <c r="V33" i="95"/>
  <c r="T21" i="95"/>
  <c r="J70" i="81"/>
  <c r="J76" i="81"/>
  <c r="L19" i="82"/>
  <c r="N19" i="82" s="1"/>
  <c r="J22" i="82"/>
  <c r="J28" i="82"/>
  <c r="L14" i="83"/>
  <c r="L18" i="83"/>
  <c r="N18" i="83" s="1"/>
  <c r="R19" i="83"/>
  <c r="R27" i="83"/>
  <c r="R30" i="83"/>
  <c r="L22" i="84"/>
  <c r="N22" i="84" s="1"/>
  <c r="X22" i="84"/>
  <c r="Z22" i="84" s="1"/>
  <c r="L32" i="84"/>
  <c r="N75" i="85"/>
  <c r="L75" i="85"/>
  <c r="N81" i="85"/>
  <c r="H80" i="85"/>
  <c r="N80" i="85" s="1"/>
  <c r="L81" i="85"/>
  <c r="F60" i="86"/>
  <c r="F52" i="86"/>
  <c r="F49" i="86"/>
  <c r="F37" i="86"/>
  <c r="F25" i="86"/>
  <c r="F20" i="86"/>
  <c r="F48" i="86"/>
  <c r="F43" i="86"/>
  <c r="F40" i="86"/>
  <c r="F24" i="86"/>
  <c r="F17" i="86"/>
  <c r="F73" i="86"/>
  <c r="F66" i="86"/>
  <c r="F59" i="86"/>
  <c r="F54" i="86"/>
  <c r="F51" i="86"/>
  <c r="F39" i="86"/>
  <c r="F34" i="86"/>
  <c r="F23" i="86"/>
  <c r="D17" i="86"/>
  <c r="F15" i="86"/>
  <c r="F61" i="86"/>
  <c r="F57" i="86"/>
  <c r="F53" i="86"/>
  <c r="F36" i="86"/>
  <c r="F33" i="86"/>
  <c r="F21" i="86"/>
  <c r="F56" i="86"/>
  <c r="F47" i="86"/>
  <c r="F44" i="86"/>
  <c r="F32" i="86"/>
  <c r="F28" i="86"/>
  <c r="F19" i="86"/>
  <c r="L12" i="86"/>
  <c r="N19" i="86"/>
  <c r="N20" i="86"/>
  <c r="L20" i="86"/>
  <c r="R23" i="86"/>
  <c r="J26" i="86"/>
  <c r="R30" i="86"/>
  <c r="J33" i="86"/>
  <c r="R42" i="86"/>
  <c r="N52" i="86"/>
  <c r="L52" i="86"/>
  <c r="J16" i="90"/>
  <c r="J23" i="81"/>
  <c r="J45" i="81"/>
  <c r="J51" i="81"/>
  <c r="J55" i="81"/>
  <c r="J59" i="81"/>
  <c r="J65" i="81"/>
  <c r="R21" i="82"/>
  <c r="V23" i="82"/>
  <c r="R24" i="82"/>
  <c r="V27" i="82"/>
  <c r="R31" i="82"/>
  <c r="J33" i="82"/>
  <c r="R37" i="82"/>
  <c r="J40" i="82"/>
  <c r="F16" i="83"/>
  <c r="V16" i="83"/>
  <c r="F23" i="83"/>
  <c r="V30" i="83"/>
  <c r="F36" i="83"/>
  <c r="V36" i="83"/>
  <c r="F42" i="83"/>
  <c r="V42" i="83"/>
  <c r="R76" i="85"/>
  <c r="R73" i="85"/>
  <c r="R68" i="85"/>
  <c r="R60" i="85"/>
  <c r="R40" i="85"/>
  <c r="R37" i="85"/>
  <c r="R28" i="85"/>
  <c r="P20" i="85"/>
  <c r="X12" i="85"/>
  <c r="Z12" i="85" s="1"/>
  <c r="R67" i="85"/>
  <c r="R64" i="85"/>
  <c r="R81" i="85"/>
  <c r="R78" i="85"/>
  <c r="R75" i="85"/>
  <c r="R59" i="85"/>
  <c r="R42" i="85"/>
  <c r="R39" i="85"/>
  <c r="R26" i="85"/>
  <c r="R18" i="85"/>
  <c r="R77" i="85"/>
  <c r="R72" i="85"/>
  <c r="R44" i="85"/>
  <c r="R41" i="85"/>
  <c r="R36" i="85"/>
  <c r="R24" i="85"/>
  <c r="R85" i="85"/>
  <c r="R71" i="85"/>
  <c r="R63" i="85"/>
  <c r="R55" i="85"/>
  <c r="R52" i="85"/>
  <c r="R47" i="85"/>
  <c r="R35" i="85"/>
  <c r="R31" i="85"/>
  <c r="R16" i="85"/>
  <c r="R23" i="85"/>
  <c r="R43" i="85"/>
  <c r="R56" i="85"/>
  <c r="R57" i="85"/>
  <c r="R65" i="85"/>
  <c r="X77" i="85"/>
  <c r="J73" i="86"/>
  <c r="J66" i="86"/>
  <c r="J54" i="86"/>
  <c r="J48" i="86"/>
  <c r="J40" i="86"/>
  <c r="J34" i="86"/>
  <c r="J24" i="86"/>
  <c r="H17" i="86"/>
  <c r="J63" i="86"/>
  <c r="J59" i="86"/>
  <c r="J51" i="86"/>
  <c r="J45" i="86"/>
  <c r="J39" i="86"/>
  <c r="J29" i="86"/>
  <c r="J23" i="86"/>
  <c r="J15" i="86"/>
  <c r="J58" i="86"/>
  <c r="J42" i="86"/>
  <c r="J36" i="86"/>
  <c r="J22" i="86"/>
  <c r="J70" i="86"/>
  <c r="J64" i="86"/>
  <c r="J56" i="86"/>
  <c r="J50" i="86"/>
  <c r="J44" i="86"/>
  <c r="J38" i="86"/>
  <c r="J32" i="86"/>
  <c r="J28" i="86"/>
  <c r="J14" i="86"/>
  <c r="N12" i="86"/>
  <c r="J55" i="86"/>
  <c r="J41" i="86"/>
  <c r="J35" i="86"/>
  <c r="J31" i="86"/>
  <c r="J27" i="86"/>
  <c r="J19" i="86"/>
  <c r="J20" i="86"/>
  <c r="R22" i="86"/>
  <c r="J25" i="86"/>
  <c r="Z29" i="86"/>
  <c r="R46" i="86"/>
  <c r="J52" i="86"/>
  <c r="F64" i="86"/>
  <c r="L13" i="87"/>
  <c r="Z19" i="87"/>
  <c r="X20" i="87"/>
  <c r="J34" i="88"/>
  <c r="J26" i="88"/>
  <c r="J20" i="88"/>
  <c r="J23" i="88"/>
  <c r="J29" i="88"/>
  <c r="J25" i="88"/>
  <c r="J22" i="88"/>
  <c r="J24" i="88"/>
  <c r="J21" i="88"/>
  <c r="J19" i="88"/>
  <c r="J16" i="88"/>
  <c r="J36" i="88"/>
  <c r="J27" i="88"/>
  <c r="H16" i="88"/>
  <c r="J39" i="88"/>
  <c r="J18" i="88"/>
  <c r="J14" i="88"/>
  <c r="N12" i="88"/>
  <c r="Z26" i="88"/>
  <c r="L29" i="88"/>
  <c r="J30" i="88"/>
  <c r="J54" i="90"/>
  <c r="J47" i="90"/>
  <c r="J43" i="90"/>
  <c r="J29" i="90"/>
  <c r="J21" i="90"/>
  <c r="J51" i="90"/>
  <c r="J40" i="90"/>
  <c r="J34" i="90"/>
  <c r="J26" i="90"/>
  <c r="J18" i="90"/>
  <c r="J37" i="90"/>
  <c r="J31" i="90"/>
  <c r="J25" i="90"/>
  <c r="H18" i="90"/>
  <c r="J39" i="90"/>
  <c r="J33" i="90"/>
  <c r="J23" i="90"/>
  <c r="J30" i="90"/>
  <c r="J22" i="90"/>
  <c r="J20" i="90"/>
  <c r="J41" i="90"/>
  <c r="J32" i="90"/>
  <c r="J27" i="90"/>
  <c r="N12" i="90"/>
  <c r="J15" i="90"/>
  <c r="J36" i="90"/>
  <c r="N15" i="90"/>
  <c r="L15" i="90"/>
  <c r="J38" i="90"/>
  <c r="X14" i="91"/>
  <c r="P16" i="91"/>
  <c r="L61" i="94"/>
  <c r="N61" i="94" s="1"/>
  <c r="R66" i="85"/>
  <c r="Z77" i="85"/>
  <c r="R70" i="86"/>
  <c r="R64" i="86"/>
  <c r="R61" i="86"/>
  <c r="R57" i="86"/>
  <c r="R53" i="86"/>
  <c r="R50" i="86"/>
  <c r="R38" i="86"/>
  <c r="R33" i="86"/>
  <c r="R21" i="86"/>
  <c r="R14" i="86"/>
  <c r="R56" i="86"/>
  <c r="R44" i="86"/>
  <c r="R41" i="86"/>
  <c r="R32" i="86"/>
  <c r="R28" i="86"/>
  <c r="X12" i="86"/>
  <c r="R60" i="86"/>
  <c r="R55" i="86"/>
  <c r="R52" i="86"/>
  <c r="R35" i="86"/>
  <c r="R31" i="86"/>
  <c r="R27" i="86"/>
  <c r="R20" i="86"/>
  <c r="R73" i="86"/>
  <c r="R66" i="86"/>
  <c r="R54" i="86"/>
  <c r="R49" i="86"/>
  <c r="R37" i="86"/>
  <c r="R34" i="86"/>
  <c r="R25" i="86"/>
  <c r="P17" i="86"/>
  <c r="R63" i="86"/>
  <c r="R48" i="86"/>
  <c r="R45" i="86"/>
  <c r="R40" i="86"/>
  <c r="R29" i="86"/>
  <c r="R24" i="86"/>
  <c r="Z14" i="86"/>
  <c r="X14" i="86"/>
  <c r="R43" i="86"/>
  <c r="R47" i="86"/>
  <c r="F50" i="86"/>
  <c r="R58" i="86"/>
  <c r="F63" i="86"/>
  <c r="N13" i="87"/>
  <c r="H12" i="87"/>
  <c r="Z20" i="87"/>
  <c r="J19" i="89"/>
  <c r="J34" i="89"/>
  <c r="J28" i="89"/>
  <c r="J24" i="89"/>
  <c r="J16" i="89"/>
  <c r="J21" i="89"/>
  <c r="H16" i="89"/>
  <c r="J23" i="89"/>
  <c r="J37" i="89"/>
  <c r="J30" i="89"/>
  <c r="J20" i="89"/>
  <c r="J18" i="89"/>
  <c r="J14" i="89"/>
  <c r="N12" i="89"/>
  <c r="J22" i="89"/>
  <c r="J25" i="89"/>
  <c r="J26" i="89"/>
  <c r="L12" i="89"/>
  <c r="J24" i="90"/>
  <c r="J28" i="90"/>
  <c r="J52" i="91"/>
  <c r="J46" i="91"/>
  <c r="J42" i="91"/>
  <c r="J36" i="91"/>
  <c r="J28" i="91"/>
  <c r="J22" i="91"/>
  <c r="J39" i="91"/>
  <c r="J33" i="91"/>
  <c r="J21" i="91"/>
  <c r="J50" i="91"/>
  <c r="J44" i="91"/>
  <c r="J30" i="91"/>
  <c r="J20" i="91"/>
  <c r="J18" i="91"/>
  <c r="J14" i="91"/>
  <c r="N12" i="91"/>
  <c r="J41" i="91"/>
  <c r="J35" i="91"/>
  <c r="J27" i="91"/>
  <c r="J55" i="91"/>
  <c r="J48" i="91"/>
  <c r="J38" i="91"/>
  <c r="J26" i="91"/>
  <c r="J16" i="91"/>
  <c r="H16" i="91"/>
  <c r="J32" i="91"/>
  <c r="J24" i="91"/>
  <c r="J43" i="91"/>
  <c r="J34" i="91"/>
  <c r="J23" i="91"/>
  <c r="J29" i="91"/>
  <c r="J40" i="91"/>
  <c r="L12" i="91"/>
  <c r="J31" i="91"/>
  <c r="L34" i="91"/>
  <c r="N34" i="91"/>
  <c r="J19" i="81"/>
  <c r="J25" i="81"/>
  <c r="J29" i="81"/>
  <c r="J37" i="81"/>
  <c r="J43" i="81"/>
  <c r="D68" i="81"/>
  <c r="L68" i="81" s="1"/>
  <c r="N68" i="81" s="1"/>
  <c r="T68" i="81"/>
  <c r="J69" i="81"/>
  <c r="T16" i="82"/>
  <c r="R19" i="82"/>
  <c r="V21" i="82"/>
  <c r="R22" i="82"/>
  <c r="J23" i="82"/>
  <c r="V25" i="82"/>
  <c r="J29" i="82"/>
  <c r="V31" i="82"/>
  <c r="V37" i="82"/>
  <c r="Z12" i="83"/>
  <c r="R14" i="83"/>
  <c r="Z16" i="83"/>
  <c r="R18" i="83"/>
  <c r="V20" i="83"/>
  <c r="R21" i="83"/>
  <c r="V28" i="83"/>
  <c r="R38" i="83"/>
  <c r="R45" i="83"/>
  <c r="Z14" i="85"/>
  <c r="R17" i="85"/>
  <c r="R33" i="85"/>
  <c r="Z41" i="85"/>
  <c r="R53" i="85"/>
  <c r="R54" i="85"/>
  <c r="R70" i="85"/>
  <c r="N73" i="85"/>
  <c r="R74" i="85"/>
  <c r="R80" i="85"/>
  <c r="J17" i="86"/>
  <c r="R19" i="86"/>
  <c r="R26" i="86"/>
  <c r="J37" i="86"/>
  <c r="F38" i="86"/>
  <c r="R51" i="86"/>
  <c r="L64" i="86"/>
  <c r="F68" i="86"/>
  <c r="F70" i="86"/>
  <c r="R20" i="87"/>
  <c r="R17" i="87"/>
  <c r="P17" i="87"/>
  <c r="R19" i="87"/>
  <c r="R15" i="87"/>
  <c r="R32" i="87"/>
  <c r="V14" i="88"/>
  <c r="X33" i="90"/>
  <c r="J26" i="81"/>
  <c r="J30" i="81"/>
  <c r="J38" i="81"/>
  <c r="J46" i="81"/>
  <c r="J60" i="81"/>
  <c r="J66" i="81"/>
  <c r="J72" i="81"/>
  <c r="V16" i="82"/>
  <c r="L16" i="83"/>
  <c r="V21" i="83"/>
  <c r="R22" i="83"/>
  <c r="F25" i="83"/>
  <c r="V25" i="83"/>
  <c r="R26" i="83"/>
  <c r="F30" i="83"/>
  <c r="R31" i="83"/>
  <c r="R34" i="83"/>
  <c r="X20" i="84"/>
  <c r="Z20" i="84" s="1"/>
  <c r="N22" i="85"/>
  <c r="R38" i="85"/>
  <c r="L56" i="85"/>
  <c r="N56" i="85" s="1"/>
  <c r="L59" i="85"/>
  <c r="N59" i="85" s="1"/>
  <c r="R61" i="85"/>
  <c r="R62" i="85"/>
  <c r="X81" i="85"/>
  <c r="F29" i="86"/>
  <c r="F30" i="86"/>
  <c r="F31" i="86"/>
  <c r="L36" i="86"/>
  <c r="R39" i="86"/>
  <c r="L41" i="86"/>
  <c r="J68" i="86"/>
  <c r="T12" i="87"/>
  <c r="Z13" i="87"/>
  <c r="V25" i="88"/>
  <c r="V36" i="88"/>
  <c r="V30" i="88"/>
  <c r="V24" i="88"/>
  <c r="V27" i="88"/>
  <c r="V21" i="88"/>
  <c r="V39" i="88"/>
  <c r="V34" i="88"/>
  <c r="V32" i="88"/>
  <c r="V20" i="88"/>
  <c r="Z12" i="88"/>
  <c r="V19" i="88"/>
  <c r="T16" i="88"/>
  <c r="V26" i="88"/>
  <c r="V22" i="88"/>
  <c r="V25" i="89"/>
  <c r="V20" i="89"/>
  <c r="Z12" i="89"/>
  <c r="V19" i="89"/>
  <c r="X12" i="89"/>
  <c r="V21" i="89"/>
  <c r="T16" i="89"/>
  <c r="V24" i="89"/>
  <c r="V32" i="89"/>
  <c r="V28" i="89"/>
  <c r="V26" i="89"/>
  <c r="V34" i="89"/>
  <c r="V23" i="89"/>
  <c r="V30" i="89"/>
  <c r="V22" i="89"/>
  <c r="V14" i="89"/>
  <c r="L21" i="89"/>
  <c r="Z33" i="90"/>
  <c r="J25" i="91"/>
  <c r="J37" i="91"/>
  <c r="V19" i="86"/>
  <c r="V23" i="86"/>
  <c r="V39" i="86"/>
  <c r="V47" i="86"/>
  <c r="V51" i="86"/>
  <c r="V59" i="86"/>
  <c r="D12" i="87"/>
  <c r="R16" i="88"/>
  <c r="X19" i="88"/>
  <c r="Z19" i="88" s="1"/>
  <c r="R24" i="88"/>
  <c r="L18" i="89"/>
  <c r="N18" i="89" s="1"/>
  <c r="Z23" i="89"/>
  <c r="R25" i="90"/>
  <c r="R31" i="90"/>
  <c r="L35" i="90"/>
  <c r="R41" i="90"/>
  <c r="X42" i="90"/>
  <c r="Z42" i="90" s="1"/>
  <c r="L45" i="90"/>
  <c r="N43" i="91"/>
  <c r="L43" i="91"/>
  <c r="V24" i="86"/>
  <c r="V36" i="86"/>
  <c r="V40" i="86"/>
  <c r="V48" i="86"/>
  <c r="R29" i="88"/>
  <c r="R25" i="88"/>
  <c r="R22" i="88"/>
  <c r="R26" i="88"/>
  <c r="R21" i="88"/>
  <c r="D16" i="88"/>
  <c r="R19" i="88"/>
  <c r="R20" i="88"/>
  <c r="R39" i="88"/>
  <c r="L25" i="89"/>
  <c r="X21" i="90"/>
  <c r="Z21" i="90" s="1"/>
  <c r="R37" i="90"/>
  <c r="R42" i="90"/>
  <c r="X17" i="92"/>
  <c r="Z17" i="92" s="1"/>
  <c r="L34" i="92"/>
  <c r="N34" i="92" s="1"/>
  <c r="T17" i="86"/>
  <c r="V26" i="86"/>
  <c r="V30" i="86"/>
  <c r="V34" i="86"/>
  <c r="V46" i="86"/>
  <c r="V54" i="86"/>
  <c r="V66" i="86"/>
  <c r="V68" i="86"/>
  <c r="V73" i="86"/>
  <c r="X12" i="88"/>
  <c r="F19" i="88"/>
  <c r="F22" i="88"/>
  <c r="R32" i="88"/>
  <c r="L14" i="89"/>
  <c r="V17" i="86"/>
  <c r="V27" i="86"/>
  <c r="V31" i="86"/>
  <c r="V35" i="86"/>
  <c r="V43" i="86"/>
  <c r="V55" i="86"/>
  <c r="R14" i="88"/>
  <c r="R18" i="88"/>
  <c r="N24" i="88"/>
  <c r="X29" i="88"/>
  <c r="L20" i="90"/>
  <c r="N20" i="90" s="1"/>
  <c r="D12" i="92"/>
  <c r="L14" i="92"/>
  <c r="Z50" i="94"/>
  <c r="X50" i="94"/>
  <c r="V44" i="86"/>
  <c r="V52" i="86"/>
  <c r="V56" i="86"/>
  <c r="F36" i="88"/>
  <c r="F30" i="88"/>
  <c r="F24" i="88"/>
  <c r="F21" i="88"/>
  <c r="F34" i="88"/>
  <c r="F39" i="88"/>
  <c r="F32" i="88"/>
  <c r="F25" i="88"/>
  <c r="R30" i="88"/>
  <c r="R36" i="88"/>
  <c r="Z18" i="89"/>
  <c r="X19" i="89"/>
  <c r="Z19" i="89" s="1"/>
  <c r="R45" i="90"/>
  <c r="R49" i="90"/>
  <c r="R47" i="90"/>
  <c r="R36" i="90"/>
  <c r="R33" i="90"/>
  <c r="R28" i="90"/>
  <c r="R24" i="90"/>
  <c r="R16" i="90"/>
  <c r="R39" i="90"/>
  <c r="R23" i="90"/>
  <c r="R20" i="90"/>
  <c r="R35" i="90"/>
  <c r="R30" i="90"/>
  <c r="R27" i="90"/>
  <c r="R22" i="90"/>
  <c r="R15" i="90"/>
  <c r="R32" i="90"/>
  <c r="R29" i="90"/>
  <c r="R21" i="90"/>
  <c r="X12" i="90"/>
  <c r="R43" i="90"/>
  <c r="R40" i="90"/>
  <c r="R18" i="90"/>
  <c r="Z29" i="90"/>
  <c r="X29" i="90"/>
  <c r="N42" i="92"/>
  <c r="L42" i="92"/>
  <c r="H29" i="88"/>
  <c r="N29" i="88" s="1"/>
  <c r="R16" i="89"/>
  <c r="R28" i="89"/>
  <c r="R34" i="89"/>
  <c r="F23" i="90"/>
  <c r="V26" i="90"/>
  <c r="V34" i="90"/>
  <c r="F39" i="90"/>
  <c r="F42" i="90"/>
  <c r="V42" i="90"/>
  <c r="V51" i="90"/>
  <c r="Z18" i="91"/>
  <c r="F24" i="91"/>
  <c r="F30" i="91"/>
  <c r="F35" i="91"/>
  <c r="F41" i="91"/>
  <c r="H12" i="92"/>
  <c r="R57" i="92"/>
  <c r="D16" i="89"/>
  <c r="R19" i="89"/>
  <c r="F21" i="89"/>
  <c r="R22" i="89"/>
  <c r="F26" i="89"/>
  <c r="F32" i="89"/>
  <c r="F16" i="90"/>
  <c r="D18" i="90"/>
  <c r="T18" i="90"/>
  <c r="X18" i="90" s="1"/>
  <c r="F24" i="90"/>
  <c r="F28" i="90"/>
  <c r="F31" i="90"/>
  <c r="V31" i="90"/>
  <c r="F36" i="90"/>
  <c r="V43" i="90"/>
  <c r="T16" i="91"/>
  <c r="Z14" i="91"/>
  <c r="F29" i="91"/>
  <c r="F40" i="91"/>
  <c r="N24" i="92"/>
  <c r="R25" i="92"/>
  <c r="R36" i="92"/>
  <c r="R41" i="92"/>
  <c r="N46" i="92"/>
  <c r="R52" i="92"/>
  <c r="L56" i="92"/>
  <c r="N56" i="92" s="1"/>
  <c r="F19" i="89"/>
  <c r="R20" i="89"/>
  <c r="F24" i="89"/>
  <c r="R25" i="89"/>
  <c r="F21" i="90"/>
  <c r="V21" i="90"/>
  <c r="F26" i="90"/>
  <c r="F29" i="90"/>
  <c r="V29" i="90"/>
  <c r="F34" i="90"/>
  <c r="V41" i="90"/>
  <c r="L18" i="91"/>
  <c r="Z36" i="91"/>
  <c r="F55" i="91"/>
  <c r="R18" i="92"/>
  <c r="Z24" i="92"/>
  <c r="Z40" i="92"/>
  <c r="R46" i="92"/>
  <c r="R18" i="89"/>
  <c r="R30" i="89"/>
  <c r="R37" i="89"/>
  <c r="V22" i="90"/>
  <c r="V30" i="90"/>
  <c r="F38" i="90"/>
  <c r="V38" i="90"/>
  <c r="F43" i="90"/>
  <c r="V45" i="90"/>
  <c r="L14" i="91"/>
  <c r="F18" i="91"/>
  <c r="F19" i="91"/>
  <c r="F26" i="91"/>
  <c r="F38" i="91"/>
  <c r="Z41" i="91"/>
  <c r="X41" i="91"/>
  <c r="R68" i="92"/>
  <c r="R64" i="92"/>
  <c r="R60" i="92"/>
  <c r="R67" i="92"/>
  <c r="R63" i="92"/>
  <c r="R59" i="92"/>
  <c r="R56" i="92"/>
  <c r="R51" i="92"/>
  <c r="R48" i="92"/>
  <c r="R77" i="92"/>
  <c r="R66" i="92"/>
  <c r="R62" i="92"/>
  <c r="R73" i="92"/>
  <c r="R58" i="92"/>
  <c r="R53" i="92"/>
  <c r="R72" i="92"/>
  <c r="R65" i="92"/>
  <c r="R61" i="92"/>
  <c r="R70" i="92"/>
  <c r="R49" i="92"/>
  <c r="R43" i="92"/>
  <c r="R40" i="92"/>
  <c r="R35" i="92"/>
  <c r="R31" i="92"/>
  <c r="R24" i="92"/>
  <c r="R75" i="92"/>
  <c r="R54" i="92"/>
  <c r="R30" i="92"/>
  <c r="R71" i="92"/>
  <c r="R45" i="92"/>
  <c r="R42" i="92"/>
  <c r="R34" i="92"/>
  <c r="R29" i="92"/>
  <c r="P21" i="92"/>
  <c r="R21" i="92" s="1"/>
  <c r="R55" i="92"/>
  <c r="R28" i="92"/>
  <c r="X12" i="92"/>
  <c r="R81" i="92"/>
  <c r="R50" i="92"/>
  <c r="R47" i="92"/>
  <c r="R44" i="92"/>
  <c r="R39" i="92"/>
  <c r="R27" i="92"/>
  <c r="R19" i="92"/>
  <c r="R23" i="92"/>
  <c r="Z46" i="92"/>
  <c r="X46" i="92"/>
  <c r="R76" i="94"/>
  <c r="R61" i="94"/>
  <c r="R82" i="94"/>
  <c r="R75" i="94"/>
  <c r="R68" i="94"/>
  <c r="R55" i="94"/>
  <c r="R52" i="94"/>
  <c r="R86" i="94"/>
  <c r="R80" i="94"/>
  <c r="R77" i="94"/>
  <c r="R72" i="94"/>
  <c r="R64" i="94"/>
  <c r="R60" i="94"/>
  <c r="R79" i="94"/>
  <c r="R70" i="94"/>
  <c r="R62" i="94"/>
  <c r="R69" i="94"/>
  <c r="R66" i="94"/>
  <c r="R58" i="94"/>
  <c r="R53" i="94"/>
  <c r="R50" i="94"/>
  <c r="R57" i="94"/>
  <c r="R47" i="94"/>
  <c r="R44" i="94"/>
  <c r="R39" i="94"/>
  <c r="R27" i="94"/>
  <c r="R19" i="94"/>
  <c r="R38" i="94"/>
  <c r="R26" i="94"/>
  <c r="R23" i="94"/>
  <c r="R18" i="94"/>
  <c r="R78" i="94"/>
  <c r="R67" i="94"/>
  <c r="R49" i="94"/>
  <c r="R46" i="94"/>
  <c r="R41" i="94"/>
  <c r="R37" i="94"/>
  <c r="R33" i="94"/>
  <c r="R25" i="94"/>
  <c r="R73" i="94"/>
  <c r="R65" i="94"/>
  <c r="R36" i="94"/>
  <c r="R32" i="94"/>
  <c r="R17" i="94"/>
  <c r="R74" i="94"/>
  <c r="R48" i="94"/>
  <c r="R43" i="94"/>
  <c r="R40" i="94"/>
  <c r="R35" i="94"/>
  <c r="R31" i="94"/>
  <c r="R24" i="94"/>
  <c r="R45" i="94"/>
  <c r="R42" i="94"/>
  <c r="R34" i="94"/>
  <c r="R29" i="94"/>
  <c r="P21" i="94"/>
  <c r="R21" i="94" s="1"/>
  <c r="R59" i="94"/>
  <c r="R51" i="94"/>
  <c r="R56" i="94"/>
  <c r="X12" i="94"/>
  <c r="R63" i="94"/>
  <c r="R30" i="94"/>
  <c r="R54" i="94"/>
  <c r="R28" i="94"/>
  <c r="F22" i="89"/>
  <c r="R23" i="89"/>
  <c r="R26" i="89"/>
  <c r="L12" i="90"/>
  <c r="F15" i="90"/>
  <c r="V23" i="90"/>
  <c r="F27" i="90"/>
  <c r="V27" i="90"/>
  <c r="F32" i="90"/>
  <c r="F35" i="90"/>
  <c r="V35" i="90"/>
  <c r="V39" i="90"/>
  <c r="F45" i="90"/>
  <c r="F34" i="91"/>
  <c r="F31" i="91"/>
  <c r="F23" i="91"/>
  <c r="F16" i="91"/>
  <c r="F42" i="91"/>
  <c r="F22" i="91"/>
  <c r="D16" i="91"/>
  <c r="F52" i="91"/>
  <c r="F46" i="91"/>
  <c r="F36" i="91"/>
  <c r="F33" i="91"/>
  <c r="F28" i="91"/>
  <c r="F21" i="91"/>
  <c r="F50" i="91"/>
  <c r="F44" i="91"/>
  <c r="F39" i="91"/>
  <c r="F20" i="91"/>
  <c r="F14" i="91"/>
  <c r="N18" i="91"/>
  <c r="N19" i="91"/>
  <c r="F37" i="91"/>
  <c r="N15" i="92"/>
  <c r="R17" i="92"/>
  <c r="R33" i="92"/>
  <c r="N48" i="92"/>
  <c r="L48" i="92"/>
  <c r="P26" i="93"/>
  <c r="Z24" i="93"/>
  <c r="X24" i="93"/>
  <c r="X34" i="94"/>
  <c r="Z34" i="94" s="1"/>
  <c r="R71" i="94"/>
  <c r="R36" i="91"/>
  <c r="V42" i="91"/>
  <c r="R46" i="91"/>
  <c r="R52" i="91"/>
  <c r="V77" i="92"/>
  <c r="V67" i="92"/>
  <c r="V63" i="92"/>
  <c r="V59" i="92"/>
  <c r="V51" i="92"/>
  <c r="V66" i="92"/>
  <c r="V62" i="92"/>
  <c r="V58" i="92"/>
  <c r="V50" i="92"/>
  <c r="V73" i="92"/>
  <c r="V65" i="92"/>
  <c r="V61" i="92"/>
  <c r="V53" i="92"/>
  <c r="V72" i="92"/>
  <c r="V52" i="92"/>
  <c r="V81" i="92"/>
  <c r="V75" i="92"/>
  <c r="V71" i="92"/>
  <c r="V55" i="92"/>
  <c r="V69" i="92"/>
  <c r="V18" i="92"/>
  <c r="V26" i="92"/>
  <c r="V38" i="92"/>
  <c r="V46" i="92"/>
  <c r="Z52" i="92"/>
  <c r="V57" i="92"/>
  <c r="V74" i="92"/>
  <c r="T12" i="94"/>
  <c r="X13" i="94"/>
  <c r="H81" i="95"/>
  <c r="N21" i="95"/>
  <c r="R24" i="91"/>
  <c r="V31" i="91"/>
  <c r="V39" i="91"/>
  <c r="R40" i="91"/>
  <c r="V19" i="92"/>
  <c r="V23" i="92"/>
  <c r="V27" i="92"/>
  <c r="V39" i="92"/>
  <c r="V47" i="92"/>
  <c r="V68" i="92"/>
  <c r="Z13" i="94"/>
  <c r="Z42" i="94"/>
  <c r="N44" i="94"/>
  <c r="Z42" i="95"/>
  <c r="X42" i="95"/>
  <c r="J26" i="96"/>
  <c r="J20" i="96"/>
  <c r="H16" i="96"/>
  <c r="J31" i="96"/>
  <c r="J24" i="96"/>
  <c r="J21" i="96"/>
  <c r="J28" i="96"/>
  <c r="J18" i="96"/>
  <c r="J16" i="96"/>
  <c r="J14" i="96"/>
  <c r="N12" i="96"/>
  <c r="L12" i="96"/>
  <c r="J22" i="96"/>
  <c r="R16" i="91"/>
  <c r="V24" i="91"/>
  <c r="R25" i="91"/>
  <c r="V28" i="91"/>
  <c r="R29" i="91"/>
  <c r="R34" i="91"/>
  <c r="V36" i="91"/>
  <c r="R37" i="91"/>
  <c r="V40" i="91"/>
  <c r="V46" i="91"/>
  <c r="V52" i="91"/>
  <c r="Z12" i="92"/>
  <c r="V28" i="92"/>
  <c r="V44" i="92"/>
  <c r="V56" i="92"/>
  <c r="F19" i="93"/>
  <c r="F33" i="93"/>
  <c r="F26" i="93"/>
  <c r="F16" i="93"/>
  <c r="F21" i="93"/>
  <c r="D16" i="93"/>
  <c r="F30" i="93"/>
  <c r="F24" i="93"/>
  <c r="F18" i="93"/>
  <c r="F14" i="93"/>
  <c r="F86" i="94"/>
  <c r="F80" i="94"/>
  <c r="F72" i="94"/>
  <c r="F64" i="94"/>
  <c r="F60" i="94"/>
  <c r="F71" i="94"/>
  <c r="F67" i="94"/>
  <c r="F63" i="94"/>
  <c r="F59" i="94"/>
  <c r="F54" i="94"/>
  <c r="F51" i="94"/>
  <c r="F79" i="94"/>
  <c r="F76" i="94"/>
  <c r="F78" i="94"/>
  <c r="F74" i="94"/>
  <c r="F61" i="94"/>
  <c r="F82" i="94"/>
  <c r="F73" i="94"/>
  <c r="F68" i="94"/>
  <c r="F65" i="94"/>
  <c r="F57" i="94"/>
  <c r="F52" i="94"/>
  <c r="F75" i="94"/>
  <c r="F53" i="94"/>
  <c r="F46" i="94"/>
  <c r="F43" i="94"/>
  <c r="F35" i="94"/>
  <c r="F31" i="94"/>
  <c r="F30" i="94"/>
  <c r="F17" i="94"/>
  <c r="F56" i="94"/>
  <c r="F55" i="94"/>
  <c r="F48" i="94"/>
  <c r="F45" i="94"/>
  <c r="F40" i="94"/>
  <c r="F29" i="94"/>
  <c r="F24" i="94"/>
  <c r="F77" i="94"/>
  <c r="F58" i="94"/>
  <c r="F28" i="94"/>
  <c r="F50" i="94"/>
  <c r="F47" i="94"/>
  <c r="F42" i="94"/>
  <c r="F39" i="94"/>
  <c r="F34" i="94"/>
  <c r="F27" i="94"/>
  <c r="D21" i="94"/>
  <c r="F19" i="94"/>
  <c r="F70" i="94"/>
  <c r="F66" i="94"/>
  <c r="F62" i="94"/>
  <c r="F49" i="94"/>
  <c r="F44" i="94"/>
  <c r="F41" i="94"/>
  <c r="F37" i="94"/>
  <c r="F33" i="94"/>
  <c r="F25" i="94"/>
  <c r="F23" i="94"/>
  <c r="F32" i="94"/>
  <c r="F69" i="94"/>
  <c r="R19" i="91"/>
  <c r="V25" i="91"/>
  <c r="R26" i="91"/>
  <c r="V29" i="91"/>
  <c r="V37" i="91"/>
  <c r="R38" i="91"/>
  <c r="R43" i="91"/>
  <c r="V29" i="92"/>
  <c r="V45" i="92"/>
  <c r="V60" i="92"/>
  <c r="V64" i="92"/>
  <c r="Z18" i="93"/>
  <c r="N23" i="94"/>
  <c r="V16" i="91"/>
  <c r="V26" i="91"/>
  <c r="R27" i="91"/>
  <c r="R32" i="91"/>
  <c r="V34" i="91"/>
  <c r="R35" i="91"/>
  <c r="R48" i="91"/>
  <c r="T21" i="92"/>
  <c r="V30" i="92"/>
  <c r="V34" i="92"/>
  <c r="V42" i="92"/>
  <c r="X54" i="92"/>
  <c r="Z54" i="92" s="1"/>
  <c r="Z61" i="92"/>
  <c r="V70" i="92"/>
  <c r="L12" i="93"/>
  <c r="L24" i="93"/>
  <c r="F28" i="93"/>
  <c r="N14" i="94"/>
  <c r="X15" i="94"/>
  <c r="Z15" i="94" s="1"/>
  <c r="X44" i="94"/>
  <c r="Z44" i="94" s="1"/>
  <c r="Z48" i="94"/>
  <c r="V43" i="92"/>
  <c r="V48" i="92"/>
  <c r="V54" i="92"/>
  <c r="N46" i="94"/>
  <c r="X23" i="95"/>
  <c r="Z23" i="95" s="1"/>
  <c r="R23" i="95"/>
  <c r="J22" i="93"/>
  <c r="J28" i="93"/>
  <c r="L79" i="94"/>
  <c r="J70" i="95"/>
  <c r="J66" i="95"/>
  <c r="J62" i="95"/>
  <c r="J56" i="95"/>
  <c r="J48" i="95"/>
  <c r="J40" i="95"/>
  <c r="J74" i="95"/>
  <c r="J68" i="95"/>
  <c r="J64" i="95"/>
  <c r="J88" i="95"/>
  <c r="J81" i="95"/>
  <c r="J55" i="95"/>
  <c r="J76" i="95"/>
  <c r="J60" i="95"/>
  <c r="J52" i="95"/>
  <c r="J44" i="95"/>
  <c r="J79" i="95"/>
  <c r="J75" i="95"/>
  <c r="J58" i="95"/>
  <c r="J35" i="95"/>
  <c r="J31" i="95"/>
  <c r="J17" i="95"/>
  <c r="J63" i="95"/>
  <c r="J59" i="95"/>
  <c r="J49" i="95"/>
  <c r="J41" i="95"/>
  <c r="J30" i="95"/>
  <c r="J24" i="95"/>
  <c r="J77" i="95"/>
  <c r="J67" i="95"/>
  <c r="J57" i="95"/>
  <c r="J85" i="95"/>
  <c r="J83" i="95"/>
  <c r="J69" i="95"/>
  <c r="J61" i="95"/>
  <c r="J54" i="95"/>
  <c r="J71" i="95"/>
  <c r="J65" i="95"/>
  <c r="J39" i="95"/>
  <c r="J27" i="95"/>
  <c r="J19" i="95"/>
  <c r="J73" i="95"/>
  <c r="J37" i="95"/>
  <c r="J33" i="95"/>
  <c r="J25" i="95"/>
  <c r="J23" i="95"/>
  <c r="J51" i="95"/>
  <c r="J50" i="95"/>
  <c r="J43" i="95"/>
  <c r="J42" i="95"/>
  <c r="J36" i="95"/>
  <c r="J32" i="95"/>
  <c r="J21" i="95"/>
  <c r="J58" i="97"/>
  <c r="J52" i="97"/>
  <c r="J48" i="97"/>
  <c r="J42" i="97"/>
  <c r="J61" i="97"/>
  <c r="J55" i="97"/>
  <c r="J45" i="97"/>
  <c r="J39" i="97"/>
  <c r="J65" i="97"/>
  <c r="J57" i="97"/>
  <c r="J51" i="97"/>
  <c r="J47" i="97"/>
  <c r="J41" i="97"/>
  <c r="J35" i="97"/>
  <c r="J54" i="97"/>
  <c r="J34" i="97"/>
  <c r="J33" i="97"/>
  <c r="J32" i="97"/>
  <c r="J25" i="97"/>
  <c r="J56" i="97"/>
  <c r="J46" i="97"/>
  <c r="J30" i="97"/>
  <c r="J24" i="97"/>
  <c r="H17" i="97"/>
  <c r="J17" i="97" s="1"/>
  <c r="J44" i="97"/>
  <c r="J38" i="97"/>
  <c r="J37" i="97"/>
  <c r="J23" i="97"/>
  <c r="J43" i="97"/>
  <c r="J40" i="97"/>
  <c r="J22" i="97"/>
  <c r="J36" i="97"/>
  <c r="J29" i="97"/>
  <c r="J21" i="97"/>
  <c r="J19" i="97"/>
  <c r="J15" i="97"/>
  <c r="J28" i="97"/>
  <c r="J27" i="97"/>
  <c r="J53" i="97"/>
  <c r="J49" i="97"/>
  <c r="J31" i="97"/>
  <c r="J20" i="97"/>
  <c r="N12" i="93"/>
  <c r="J14" i="93"/>
  <c r="R16" i="93"/>
  <c r="J18" i="93"/>
  <c r="J20" i="93"/>
  <c r="J24" i="93"/>
  <c r="R26" i="93"/>
  <c r="J30" i="93"/>
  <c r="R33" i="93"/>
  <c r="H12" i="94"/>
  <c r="L12" i="94" s="1"/>
  <c r="Z54" i="94"/>
  <c r="X56" i="94"/>
  <c r="Z56" i="94" s="1"/>
  <c r="R76" i="95"/>
  <c r="R60" i="95"/>
  <c r="R55" i="95"/>
  <c r="R52" i="95"/>
  <c r="R47" i="95"/>
  <c r="R44" i="95"/>
  <c r="R73" i="95"/>
  <c r="R79" i="95"/>
  <c r="R72" i="95"/>
  <c r="R75" i="95"/>
  <c r="R71" i="95"/>
  <c r="R59" i="95"/>
  <c r="R56" i="95"/>
  <c r="R51" i="95"/>
  <c r="R48" i="95"/>
  <c r="R43" i="95"/>
  <c r="R40" i="95"/>
  <c r="R83" i="95"/>
  <c r="R70" i="95"/>
  <c r="R69" i="95"/>
  <c r="R68" i="95"/>
  <c r="R67" i="95"/>
  <c r="R64" i="95"/>
  <c r="R62" i="95"/>
  <c r="R61" i="95"/>
  <c r="R54" i="95"/>
  <c r="R46" i="95"/>
  <c r="R28" i="95"/>
  <c r="X12" i="95"/>
  <c r="R66" i="95"/>
  <c r="R65" i="95"/>
  <c r="R39" i="95"/>
  <c r="R27" i="95"/>
  <c r="R19" i="95"/>
  <c r="R74" i="95"/>
  <c r="R50" i="95"/>
  <c r="R42" i="95"/>
  <c r="R36" i="95"/>
  <c r="R32" i="95"/>
  <c r="R17" i="95"/>
  <c r="R49" i="95"/>
  <c r="R41" i="95"/>
  <c r="R30" i="95"/>
  <c r="R21" i="95"/>
  <c r="R77" i="95"/>
  <c r="R63" i="95"/>
  <c r="R57" i="95"/>
  <c r="R34" i="95"/>
  <c r="R29" i="95"/>
  <c r="P21" i="95"/>
  <c r="J18" i="95"/>
  <c r="J26" i="95"/>
  <c r="F30" i="95"/>
  <c r="R37" i="95"/>
  <c r="R38" i="95"/>
  <c r="X52" i="95"/>
  <c r="Z52" i="95" s="1"/>
  <c r="T16" i="93"/>
  <c r="R19" i="93"/>
  <c r="V21" i="93"/>
  <c r="R22" i="93"/>
  <c r="R28" i="93"/>
  <c r="F49" i="95"/>
  <c r="V16" i="93"/>
  <c r="V22" i="93"/>
  <c r="V26" i="93"/>
  <c r="V28" i="93"/>
  <c r="V33" i="93"/>
  <c r="L13" i="94"/>
  <c r="N13" i="94" s="1"/>
  <c r="F75" i="95"/>
  <c r="F71" i="95"/>
  <c r="F59" i="95"/>
  <c r="F54" i="95"/>
  <c r="F51" i="95"/>
  <c r="F46" i="95"/>
  <c r="F43" i="95"/>
  <c r="F83" i="95"/>
  <c r="F77" i="95"/>
  <c r="F69" i="95"/>
  <c r="F65" i="95"/>
  <c r="F61" i="95"/>
  <c r="F68" i="95"/>
  <c r="F64" i="95"/>
  <c r="F74" i="95"/>
  <c r="F58" i="95"/>
  <c r="F55" i="95"/>
  <c r="F50" i="95"/>
  <c r="F47" i="95"/>
  <c r="F42" i="95"/>
  <c r="F36" i="95"/>
  <c r="F32" i="95"/>
  <c r="F23" i="95"/>
  <c r="F76" i="95"/>
  <c r="F35" i="95"/>
  <c r="F31" i="95"/>
  <c r="F79" i="95"/>
  <c r="F60" i="95"/>
  <c r="F70" i="95"/>
  <c r="F63" i="95"/>
  <c r="F62" i="95"/>
  <c r="F57" i="95"/>
  <c r="F67" i="95"/>
  <c r="F66" i="95"/>
  <c r="F56" i="95"/>
  <c r="F28" i="95"/>
  <c r="L12" i="95"/>
  <c r="F72" i="95"/>
  <c r="F53" i="95"/>
  <c r="F45" i="95"/>
  <c r="F38" i="95"/>
  <c r="F26" i="95"/>
  <c r="F18" i="95"/>
  <c r="F73" i="95"/>
  <c r="F52" i="95"/>
  <c r="F44" i="95"/>
  <c r="F37" i="95"/>
  <c r="F33" i="95"/>
  <c r="F25" i="95"/>
  <c r="F24" i="95"/>
  <c r="F29" i="95"/>
  <c r="F41" i="95"/>
  <c r="F48" i="95"/>
  <c r="J26" i="97"/>
  <c r="X12" i="93"/>
  <c r="H16" i="93"/>
  <c r="V19" i="93"/>
  <c r="R20" i="93"/>
  <c r="J21" i="93"/>
  <c r="N56" i="94"/>
  <c r="X79" i="94"/>
  <c r="Z79" i="94" s="1"/>
  <c r="R18" i="95"/>
  <c r="N24" i="95"/>
  <c r="R25" i="95"/>
  <c r="R26" i="95"/>
  <c r="J29" i="95"/>
  <c r="J34" i="95"/>
  <c r="F40" i="95"/>
  <c r="J53" i="95"/>
  <c r="R14" i="93"/>
  <c r="J16" i="93"/>
  <c r="R18" i="93"/>
  <c r="R24" i="93"/>
  <c r="J26" i="93"/>
  <c r="L58" i="94"/>
  <c r="N58" i="94" s="1"/>
  <c r="Z77" i="94"/>
  <c r="L13" i="95"/>
  <c r="X17" i="95"/>
  <c r="D21" i="95"/>
  <c r="R33" i="95"/>
  <c r="F39" i="95"/>
  <c r="J45" i="95"/>
  <c r="J47" i="95"/>
  <c r="R58" i="95"/>
  <c r="J72" i="95"/>
  <c r="Z56" i="95"/>
  <c r="Z60" i="95"/>
  <c r="L21" i="96"/>
  <c r="D20" i="96"/>
  <c r="X44" i="97"/>
  <c r="Z44" i="97" s="1"/>
  <c r="X14" i="95"/>
  <c r="X58" i="95"/>
  <c r="L16" i="96"/>
  <c r="D24" i="96"/>
  <c r="X41" i="97"/>
  <c r="Z41" i="97" s="1"/>
  <c r="L13" i="99"/>
  <c r="N46" i="95"/>
  <c r="N14" i="96"/>
  <c r="L14" i="96"/>
  <c r="N18" i="96"/>
  <c r="L18" i="96"/>
  <c r="X21" i="96"/>
  <c r="X37" i="97"/>
  <c r="Z21" i="96"/>
  <c r="T20" i="96"/>
  <c r="N19" i="97"/>
  <c r="Z57" i="97"/>
  <c r="X57" i="97"/>
  <c r="L61" i="97"/>
  <c r="D60" i="97"/>
  <c r="L56" i="95"/>
  <c r="N56" i="95" s="1"/>
  <c r="N63" i="95"/>
  <c r="Z74" i="95"/>
  <c r="X20" i="96"/>
  <c r="D12" i="97"/>
  <c r="L13" i="97"/>
  <c r="N29" i="100"/>
  <c r="L29" i="100"/>
  <c r="P24" i="96"/>
  <c r="N13" i="97"/>
  <c r="Z19" i="97"/>
  <c r="Z39" i="97"/>
  <c r="R57" i="97"/>
  <c r="R65" i="97"/>
  <c r="R51" i="97"/>
  <c r="R47" i="97"/>
  <c r="R44" i="97"/>
  <c r="R35" i="97"/>
  <c r="R54" i="97"/>
  <c r="R50" i="97"/>
  <c r="R38" i="97"/>
  <c r="R34" i="97"/>
  <c r="R56" i="97"/>
  <c r="R40" i="97"/>
  <c r="R37" i="97"/>
  <c r="R32" i="97"/>
  <c r="R58" i="97"/>
  <c r="R43" i="97"/>
  <c r="R42" i="97"/>
  <c r="R39" i="97"/>
  <c r="R22" i="97"/>
  <c r="R19" i="97"/>
  <c r="R15" i="97"/>
  <c r="R60" i="97"/>
  <c r="R36" i="97"/>
  <c r="R29" i="97"/>
  <c r="R21" i="97"/>
  <c r="R28" i="97"/>
  <c r="R61" i="97"/>
  <c r="R27" i="97"/>
  <c r="R20" i="97"/>
  <c r="R52" i="97"/>
  <c r="R49" i="97"/>
  <c r="R48" i="97"/>
  <c r="R31" i="97"/>
  <c r="R26" i="97"/>
  <c r="R17" i="97"/>
  <c r="R53" i="97"/>
  <c r="R46" i="97"/>
  <c r="R33" i="97"/>
  <c r="R30" i="97"/>
  <c r="R25" i="97"/>
  <c r="P17" i="97"/>
  <c r="N34" i="98"/>
  <c r="L34" i="98"/>
  <c r="N21" i="99"/>
  <c r="L21" i="99"/>
  <c r="N15" i="100"/>
  <c r="L15" i="100"/>
  <c r="H18" i="100"/>
  <c r="Z55" i="97"/>
  <c r="N61" i="97"/>
  <c r="H60" i="97"/>
  <c r="N25" i="100"/>
  <c r="L25" i="100"/>
  <c r="T16" i="96"/>
  <c r="X16" i="96" s="1"/>
  <c r="L39" i="97"/>
  <c r="N39" i="97" s="1"/>
  <c r="R22" i="98"/>
  <c r="X24" i="98"/>
  <c r="J34" i="99"/>
  <c r="J31" i="99"/>
  <c r="J27" i="99"/>
  <c r="J24" i="99"/>
  <c r="J21" i="99"/>
  <c r="J36" i="99"/>
  <c r="J33" i="99"/>
  <c r="J29" i="99"/>
  <c r="J25" i="99"/>
  <c r="H18" i="99"/>
  <c r="J15" i="99"/>
  <c r="J22" i="99"/>
  <c r="N12" i="99"/>
  <c r="V25" i="99"/>
  <c r="Z34" i="99"/>
  <c r="X34" i="99"/>
  <c r="P18" i="100"/>
  <c r="X22" i="100"/>
  <c r="V16" i="96"/>
  <c r="T12" i="97"/>
  <c r="X12" i="97" s="1"/>
  <c r="R21" i="98"/>
  <c r="R18" i="98"/>
  <c r="R36" i="98"/>
  <c r="R33" i="98"/>
  <c r="R29" i="98"/>
  <c r="R25" i="98"/>
  <c r="P18" i="98"/>
  <c r="R15" i="98"/>
  <c r="X12" i="98"/>
  <c r="R20" i="98"/>
  <c r="L15" i="98"/>
  <c r="R24" i="98"/>
  <c r="L29" i="98"/>
  <c r="T18" i="99"/>
  <c r="Z21" i="100"/>
  <c r="X21" i="100"/>
  <c r="L34" i="100"/>
  <c r="H20" i="96"/>
  <c r="L55" i="97"/>
  <c r="N55" i="97" s="1"/>
  <c r="T60" i="97"/>
  <c r="X60" i="97" s="1"/>
  <c r="V36" i="98"/>
  <c r="V33" i="98"/>
  <c r="V29" i="98"/>
  <c r="V25" i="98"/>
  <c r="T18" i="98"/>
  <c r="V15" i="98"/>
  <c r="V22" i="98"/>
  <c r="V34" i="98"/>
  <c r="V31" i="98"/>
  <c r="V27" i="98"/>
  <c r="V24" i="98"/>
  <c r="V15" i="99"/>
  <c r="L41" i="97"/>
  <c r="X61" i="97"/>
  <c r="Z61" i="97" s="1"/>
  <c r="H18" i="98"/>
  <c r="R31" i="98"/>
  <c r="V20" i="99"/>
  <c r="V16" i="99"/>
  <c r="Z12" i="99"/>
  <c r="V34" i="99"/>
  <c r="V31" i="99"/>
  <c r="V27" i="99"/>
  <c r="X12" i="99"/>
  <c r="V21" i="99"/>
  <c r="V18" i="99"/>
  <c r="N33" i="100"/>
  <c r="L33" i="100"/>
  <c r="V22" i="99"/>
  <c r="F34" i="100"/>
  <c r="F31" i="100"/>
  <c r="F27" i="100"/>
  <c r="F24" i="100"/>
  <c r="F21" i="100"/>
  <c r="F36" i="100"/>
  <c r="F33" i="100"/>
  <c r="F29" i="100"/>
  <c r="F25" i="100"/>
  <c r="D18" i="100"/>
  <c r="F15" i="100"/>
  <c r="L12" i="100"/>
  <c r="F22" i="100"/>
  <c r="F24" i="98"/>
  <c r="D27" i="98"/>
  <c r="F18" i="99"/>
  <c r="R24" i="99"/>
  <c r="J16" i="100"/>
  <c r="R18" i="100"/>
  <c r="J20" i="100"/>
  <c r="V22" i="100"/>
  <c r="J21" i="98"/>
  <c r="F27" i="98"/>
  <c r="F31" i="98"/>
  <c r="F34" i="98"/>
  <c r="F21" i="99"/>
  <c r="R27" i="99"/>
  <c r="R31" i="99"/>
  <c r="V15" i="100"/>
  <c r="T18" i="100"/>
  <c r="R21" i="100"/>
  <c r="V25" i="100"/>
  <c r="V29" i="100"/>
  <c r="V33" i="100"/>
  <c r="V36" i="100"/>
  <c r="J27" i="98"/>
  <c r="J31" i="98"/>
  <c r="J34" i="98"/>
  <c r="F27" i="99"/>
  <c r="F31" i="99"/>
  <c r="F34" i="99"/>
  <c r="R27" i="100"/>
  <c r="R31" i="100"/>
  <c r="J33" i="100"/>
  <c r="R34" i="100"/>
  <c r="J16" i="98"/>
  <c r="F16" i="99"/>
  <c r="R16" i="100"/>
  <c r="L18" i="53" l="1"/>
  <c r="L18" i="7"/>
  <c r="X18" i="32"/>
  <c r="T27" i="47"/>
  <c r="H27" i="26"/>
  <c r="H31" i="10"/>
  <c r="N18" i="10"/>
  <c r="T27" i="24"/>
  <c r="Z18" i="7"/>
  <c r="T27" i="29"/>
  <c r="N18" i="22"/>
  <c r="L18" i="38"/>
  <c r="Z18" i="30"/>
  <c r="T31" i="30"/>
  <c r="H27" i="14"/>
  <c r="H31" i="14" s="1"/>
  <c r="L27" i="35"/>
  <c r="X18" i="38"/>
  <c r="L18" i="99"/>
  <c r="H31" i="33"/>
  <c r="N31" i="33" s="1"/>
  <c r="N18" i="33"/>
  <c r="L18" i="35"/>
  <c r="H27" i="11"/>
  <c r="X18" i="5"/>
  <c r="N18" i="17"/>
  <c r="L18" i="98"/>
  <c r="X18" i="4"/>
  <c r="Z18" i="40"/>
  <c r="N18" i="40"/>
  <c r="Z18" i="35"/>
  <c r="X18" i="52"/>
  <c r="T31" i="35"/>
  <c r="T36" i="35" s="1"/>
  <c r="Z36" i="35" s="1"/>
  <c r="L18" i="13"/>
  <c r="N18" i="23"/>
  <c r="H27" i="23"/>
  <c r="D17" i="87"/>
  <c r="F29" i="87"/>
  <c r="F23" i="87"/>
  <c r="F27" i="87"/>
  <c r="F21" i="87"/>
  <c r="F32" i="87"/>
  <c r="F25" i="87"/>
  <c r="F19" i="87"/>
  <c r="F17" i="87"/>
  <c r="F20" i="87"/>
  <c r="F15" i="87"/>
  <c r="L12" i="87"/>
  <c r="P72" i="58"/>
  <c r="X68" i="58"/>
  <c r="N16" i="57"/>
  <c r="H61" i="57"/>
  <c r="X18" i="44"/>
  <c r="P27" i="44"/>
  <c r="F162" i="34"/>
  <c r="F156" i="34"/>
  <c r="F153" i="34"/>
  <c r="F149" i="34"/>
  <c r="F141" i="34"/>
  <c r="F133" i="34"/>
  <c r="F129" i="34"/>
  <c r="F117" i="34"/>
  <c r="F112" i="34"/>
  <c r="F93" i="34"/>
  <c r="F88" i="34"/>
  <c r="F77" i="34"/>
  <c r="F69" i="34"/>
  <c r="F61" i="34"/>
  <c r="F148" i="34"/>
  <c r="F144" i="34"/>
  <c r="F140" i="34"/>
  <c r="F136" i="34"/>
  <c r="F132" i="34"/>
  <c r="F123" i="34"/>
  <c r="F120" i="34"/>
  <c r="F108" i="34"/>
  <c r="F103" i="34"/>
  <c r="F92" i="34"/>
  <c r="F76" i="34"/>
  <c r="F68" i="34"/>
  <c r="F60" i="34"/>
  <c r="L12" i="34"/>
  <c r="F158" i="34"/>
  <c r="F155" i="34"/>
  <c r="F147" i="34"/>
  <c r="F143" i="34"/>
  <c r="F139" i="34"/>
  <c r="F135" i="34"/>
  <c r="F131" i="34"/>
  <c r="F126" i="34"/>
  <c r="F114" i="34"/>
  <c r="F111" i="34"/>
  <c r="F91" i="34"/>
  <c r="D85" i="34"/>
  <c r="F83" i="34"/>
  <c r="F75" i="34"/>
  <c r="F67" i="34"/>
  <c r="F59" i="34"/>
  <c r="F163" i="34"/>
  <c r="F146" i="34"/>
  <c r="F138" i="34"/>
  <c r="F122" i="34"/>
  <c r="F110" i="34"/>
  <c r="F105" i="34"/>
  <c r="F102" i="34"/>
  <c r="F97" i="34"/>
  <c r="F90" i="34"/>
  <c r="F82" i="34"/>
  <c r="F74" i="34"/>
  <c r="F66" i="34"/>
  <c r="F161" i="34"/>
  <c r="F124" i="34"/>
  <c r="F119" i="34"/>
  <c r="F107" i="34"/>
  <c r="F104" i="34"/>
  <c r="F100" i="34"/>
  <c r="F96" i="34"/>
  <c r="F87" i="34"/>
  <c r="F80" i="34"/>
  <c r="F72" i="34"/>
  <c r="F64" i="34"/>
  <c r="F125" i="34"/>
  <c r="F118" i="34"/>
  <c r="F109" i="34"/>
  <c r="F63" i="34"/>
  <c r="F58" i="34"/>
  <c r="F159" i="34"/>
  <c r="F152" i="34"/>
  <c r="F127" i="34"/>
  <c r="F73" i="34"/>
  <c r="F115" i="34"/>
  <c r="F101" i="34"/>
  <c r="F94" i="34"/>
  <c r="F78" i="34"/>
  <c r="F71" i="34"/>
  <c r="F167" i="34"/>
  <c r="F154" i="34"/>
  <c r="F145" i="34"/>
  <c r="F121" i="34"/>
  <c r="F116" i="34"/>
  <c r="F106" i="34"/>
  <c r="F98" i="34"/>
  <c r="F95" i="34"/>
  <c r="F79" i="34"/>
  <c r="F130" i="34"/>
  <c r="F99" i="34"/>
  <c r="F65" i="34"/>
  <c r="F157" i="34"/>
  <c r="F150" i="34"/>
  <c r="F137" i="34"/>
  <c r="F89" i="34"/>
  <c r="F151" i="34"/>
  <c r="F142" i="34"/>
  <c r="F62" i="34"/>
  <c r="F81" i="34"/>
  <c r="F70" i="34"/>
  <c r="F128" i="34"/>
  <c r="F134" i="34"/>
  <c r="F113" i="34"/>
  <c r="H27" i="24"/>
  <c r="N18" i="24"/>
  <c r="L18" i="24"/>
  <c r="F60" i="97"/>
  <c r="F46" i="97"/>
  <c r="F43" i="97"/>
  <c r="F58" i="97"/>
  <c r="F42" i="97"/>
  <c r="F37" i="97"/>
  <c r="F61" i="97"/>
  <c r="F55" i="97"/>
  <c r="F39" i="97"/>
  <c r="F36" i="97"/>
  <c r="F53" i="97"/>
  <c r="F50" i="97"/>
  <c r="F49" i="97"/>
  <c r="F47" i="97"/>
  <c r="F31" i="97"/>
  <c r="F26" i="97"/>
  <c r="F54" i="97"/>
  <c r="F52" i="97"/>
  <c r="F51" i="97"/>
  <c r="F48" i="97"/>
  <c r="F34" i="97"/>
  <c r="F33" i="97"/>
  <c r="F32" i="97"/>
  <c r="F25" i="97"/>
  <c r="F20" i="97"/>
  <c r="F65" i="97"/>
  <c r="F57" i="97"/>
  <c r="F56" i="97"/>
  <c r="F45" i="97"/>
  <c r="F35" i="97"/>
  <c r="F24" i="97"/>
  <c r="F41" i="97"/>
  <c r="F38" i="97"/>
  <c r="F30" i="97"/>
  <c r="F23" i="97"/>
  <c r="D17" i="97"/>
  <c r="F17" i="97" s="1"/>
  <c r="F44" i="97"/>
  <c r="F40" i="97"/>
  <c r="F22" i="97"/>
  <c r="F29" i="97"/>
  <c r="F21" i="97"/>
  <c r="F27" i="97"/>
  <c r="F28" i="97"/>
  <c r="F19" i="97"/>
  <c r="F15" i="97"/>
  <c r="L12" i="97"/>
  <c r="N12" i="97" s="1"/>
  <c r="T27" i="98"/>
  <c r="Z18" i="98"/>
  <c r="H24" i="96"/>
  <c r="N16" i="96"/>
  <c r="T66" i="86"/>
  <c r="Z17" i="86"/>
  <c r="T30" i="89"/>
  <c r="X30" i="89" s="1"/>
  <c r="Z16" i="89"/>
  <c r="N16" i="89"/>
  <c r="H30" i="89"/>
  <c r="J27" i="87"/>
  <c r="J21" i="87"/>
  <c r="J19" i="87"/>
  <c r="J15" i="87"/>
  <c r="N12" i="87"/>
  <c r="J20" i="87"/>
  <c r="J17" i="87"/>
  <c r="J23" i="87"/>
  <c r="H17" i="87"/>
  <c r="P34" i="89"/>
  <c r="P38" i="83"/>
  <c r="X16" i="83"/>
  <c r="T83" i="85"/>
  <c r="N17" i="84"/>
  <c r="H34" i="84"/>
  <c r="H76" i="81"/>
  <c r="T34" i="84"/>
  <c r="X68" i="81"/>
  <c r="Z68" i="81" s="1"/>
  <c r="F97" i="77"/>
  <c r="F93" i="77"/>
  <c r="F89" i="77"/>
  <c r="F85" i="77"/>
  <c r="F61" i="77"/>
  <c r="F57" i="77"/>
  <c r="F41" i="77"/>
  <c r="F103" i="77"/>
  <c r="F100" i="77"/>
  <c r="F96" i="77"/>
  <c r="F92" i="77"/>
  <c r="F88" i="77"/>
  <c r="F84" i="77"/>
  <c r="F79" i="77"/>
  <c r="F76" i="77"/>
  <c r="F71" i="77"/>
  <c r="F68" i="77"/>
  <c r="F60" i="77"/>
  <c r="F56" i="77"/>
  <c r="F40" i="77"/>
  <c r="F95" i="77"/>
  <c r="F55" i="77"/>
  <c r="F50" i="77"/>
  <c r="F39" i="77"/>
  <c r="F102" i="77"/>
  <c r="F81" i="77"/>
  <c r="F78" i="77"/>
  <c r="F73" i="77"/>
  <c r="F70" i="77"/>
  <c r="F65" i="77"/>
  <c r="F54" i="77"/>
  <c r="F106" i="77"/>
  <c r="F53" i="77"/>
  <c r="D47" i="77"/>
  <c r="F45" i="77"/>
  <c r="F94" i="77"/>
  <c r="F63" i="77"/>
  <c r="F51" i="77"/>
  <c r="F43" i="77"/>
  <c r="F38" i="77"/>
  <c r="F83" i="77"/>
  <c r="F104" i="77"/>
  <c r="F52" i="77"/>
  <c r="L12" i="77"/>
  <c r="F98" i="77"/>
  <c r="F90" i="77"/>
  <c r="F77" i="77"/>
  <c r="F69" i="77"/>
  <c r="F64" i="77"/>
  <c r="F58" i="77"/>
  <c r="F44" i="77"/>
  <c r="F99" i="77"/>
  <c r="F80" i="77"/>
  <c r="F72" i="77"/>
  <c r="F62" i="77"/>
  <c r="F86" i="77"/>
  <c r="F91" i="77"/>
  <c r="F87" i="77"/>
  <c r="F82" i="77"/>
  <c r="F74" i="77"/>
  <c r="F66" i="77"/>
  <c r="F59" i="77"/>
  <c r="F49" i="77"/>
  <c r="F110" i="77"/>
  <c r="F101" i="77"/>
  <c r="F75" i="77"/>
  <c r="F67" i="77"/>
  <c r="F42" i="77"/>
  <c r="F18" i="75"/>
  <c r="F27" i="75"/>
  <c r="F31" i="75"/>
  <c r="D23" i="75"/>
  <c r="F23" i="75" s="1"/>
  <c r="F21" i="75"/>
  <c r="F20" i="75"/>
  <c r="L12" i="75"/>
  <c r="N12" i="75" s="1"/>
  <c r="F25" i="75"/>
  <c r="F19" i="75"/>
  <c r="V41" i="67"/>
  <c r="V33" i="67"/>
  <c r="V29" i="67"/>
  <c r="V44" i="67"/>
  <c r="V36" i="67"/>
  <c r="V28" i="67"/>
  <c r="Z12" i="67"/>
  <c r="V57" i="67"/>
  <c r="V52" i="67"/>
  <c r="V50" i="67"/>
  <c r="V46" i="67"/>
  <c r="V38" i="67"/>
  <c r="V26" i="67"/>
  <c r="V18" i="67"/>
  <c r="V45" i="67"/>
  <c r="V37" i="67"/>
  <c r="V25" i="67"/>
  <c r="V40" i="67"/>
  <c r="V32" i="67"/>
  <c r="V24" i="67"/>
  <c r="V39" i="67"/>
  <c r="V31" i="67"/>
  <c r="V42" i="67"/>
  <c r="V30" i="67"/>
  <c r="V27" i="67"/>
  <c r="V34" i="67"/>
  <c r="V54" i="67"/>
  <c r="V19" i="67"/>
  <c r="V48" i="67"/>
  <c r="V43" i="67"/>
  <c r="V23" i="67"/>
  <c r="V21" i="67"/>
  <c r="T21" i="67"/>
  <c r="V35" i="67"/>
  <c r="H46" i="60"/>
  <c r="N16" i="60"/>
  <c r="D30" i="55"/>
  <c r="L16" i="55"/>
  <c r="V75" i="64"/>
  <c r="V71" i="64"/>
  <c r="V67" i="64"/>
  <c r="V59" i="64"/>
  <c r="V55" i="64"/>
  <c r="V31" i="64"/>
  <c r="V84" i="64"/>
  <c r="V78" i="64"/>
  <c r="V70" i="64"/>
  <c r="V58" i="64"/>
  <c r="V50" i="64"/>
  <c r="V30" i="64"/>
  <c r="V77" i="64"/>
  <c r="V61" i="64"/>
  <c r="V49" i="64"/>
  <c r="V45" i="64"/>
  <c r="V41" i="64"/>
  <c r="V37" i="64"/>
  <c r="V29" i="64"/>
  <c r="V60" i="64"/>
  <c r="V52" i="64"/>
  <c r="V48" i="64"/>
  <c r="V44" i="64"/>
  <c r="V36" i="64"/>
  <c r="V28" i="64"/>
  <c r="V63" i="64"/>
  <c r="V51" i="64"/>
  <c r="V47" i="64"/>
  <c r="V43" i="64"/>
  <c r="V35" i="64"/>
  <c r="V27" i="64"/>
  <c r="V73" i="64"/>
  <c r="V69" i="64"/>
  <c r="V65" i="64"/>
  <c r="V57" i="64"/>
  <c r="V53" i="64"/>
  <c r="V33" i="64"/>
  <c r="V68" i="64"/>
  <c r="V76" i="64"/>
  <c r="V62" i="64"/>
  <c r="V56" i="64"/>
  <c r="V46" i="64"/>
  <c r="T39" i="64"/>
  <c r="V32" i="64"/>
  <c r="V80" i="64"/>
  <c r="V74" i="64"/>
  <c r="V66" i="64"/>
  <c r="V42" i="64"/>
  <c r="V34" i="64"/>
  <c r="V72" i="64"/>
  <c r="V54" i="64"/>
  <c r="V64" i="64"/>
  <c r="T72" i="58"/>
  <c r="Z68" i="58"/>
  <c r="F73" i="51"/>
  <c r="F70" i="51"/>
  <c r="F66" i="51"/>
  <c r="F62" i="51"/>
  <c r="F54" i="51"/>
  <c r="F46" i="51"/>
  <c r="F38" i="51"/>
  <c r="F88" i="51"/>
  <c r="F85" i="51"/>
  <c r="F81" i="51"/>
  <c r="F65" i="51"/>
  <c r="F61" i="51"/>
  <c r="F52" i="51"/>
  <c r="F45" i="51"/>
  <c r="F37" i="51"/>
  <c r="F93" i="51"/>
  <c r="F84" i="51"/>
  <c r="F75" i="51"/>
  <c r="F72" i="51"/>
  <c r="F64" i="51"/>
  <c r="F60" i="51"/>
  <c r="F44" i="51"/>
  <c r="F36" i="51"/>
  <c r="L12" i="51"/>
  <c r="F87" i="51"/>
  <c r="F83" i="51"/>
  <c r="F78" i="51"/>
  <c r="F59" i="51"/>
  <c r="F43" i="51"/>
  <c r="F91" i="51"/>
  <c r="F74" i="51"/>
  <c r="F69" i="51"/>
  <c r="F58" i="51"/>
  <c r="F53" i="51"/>
  <c r="F42" i="51"/>
  <c r="F94" i="51"/>
  <c r="F89" i="51"/>
  <c r="F80" i="51"/>
  <c r="F77" i="51"/>
  <c r="F57" i="51"/>
  <c r="F41" i="51"/>
  <c r="F40" i="51"/>
  <c r="F86" i="51"/>
  <c r="F55" i="51"/>
  <c r="F82" i="51"/>
  <c r="F67" i="51"/>
  <c r="F98" i="51"/>
  <c r="F92" i="51"/>
  <c r="F79" i="51"/>
  <c r="F76" i="51"/>
  <c r="F71" i="51"/>
  <c r="F56" i="51"/>
  <c r="F47" i="51"/>
  <c r="F68" i="51"/>
  <c r="F48" i="51"/>
  <c r="F35" i="51"/>
  <c r="F63" i="51"/>
  <c r="D50" i="51"/>
  <c r="F39" i="51"/>
  <c r="X18" i="50"/>
  <c r="P27" i="50"/>
  <c r="L16" i="57"/>
  <c r="D61" i="57"/>
  <c r="D27" i="49"/>
  <c r="L18" i="49"/>
  <c r="T26" i="54"/>
  <c r="Z22" i="54"/>
  <c r="X18" i="47"/>
  <c r="P27" i="47"/>
  <c r="V89" i="51"/>
  <c r="V77" i="51"/>
  <c r="V73" i="51"/>
  <c r="V57" i="51"/>
  <c r="V41" i="51"/>
  <c r="V98" i="51"/>
  <c r="V88" i="51"/>
  <c r="V76" i="51"/>
  <c r="V68" i="51"/>
  <c r="V56" i="51"/>
  <c r="V52" i="51"/>
  <c r="V48" i="51"/>
  <c r="V40" i="51"/>
  <c r="V93" i="51"/>
  <c r="V79" i="51"/>
  <c r="V75" i="51"/>
  <c r="V67" i="51"/>
  <c r="V55" i="51"/>
  <c r="V47" i="51"/>
  <c r="V39" i="51"/>
  <c r="V78" i="51"/>
  <c r="V70" i="51"/>
  <c r="V66" i="51"/>
  <c r="V62" i="51"/>
  <c r="V54" i="51"/>
  <c r="V46" i="51"/>
  <c r="V38" i="51"/>
  <c r="V91" i="51"/>
  <c r="V85" i="51"/>
  <c r="V81" i="51"/>
  <c r="V69" i="51"/>
  <c r="V65" i="51"/>
  <c r="V61" i="51"/>
  <c r="V53" i="51"/>
  <c r="V45" i="51"/>
  <c r="V37" i="51"/>
  <c r="V94" i="51"/>
  <c r="V84" i="51"/>
  <c r="V80" i="51"/>
  <c r="V72" i="51"/>
  <c r="V64" i="51"/>
  <c r="V60" i="51"/>
  <c r="V44" i="51"/>
  <c r="V36" i="51"/>
  <c r="V87" i="51"/>
  <c r="V83" i="51"/>
  <c r="V58" i="51"/>
  <c r="V35" i="51"/>
  <c r="V63" i="51"/>
  <c r="V59" i="51"/>
  <c r="V82" i="51"/>
  <c r="V74" i="51"/>
  <c r="V92" i="51"/>
  <c r="V71" i="51"/>
  <c r="V43" i="51"/>
  <c r="V42" i="51"/>
  <c r="T50" i="51"/>
  <c r="V86" i="51"/>
  <c r="H27" i="38"/>
  <c r="L27" i="38" s="1"/>
  <c r="N18" i="38"/>
  <c r="F77" i="45"/>
  <c r="F72" i="45"/>
  <c r="F69" i="45"/>
  <c r="F37" i="45"/>
  <c r="F33" i="45"/>
  <c r="F25" i="45"/>
  <c r="F89" i="45"/>
  <c r="F84" i="45"/>
  <c r="F76" i="45"/>
  <c r="F68" i="45"/>
  <c r="F64" i="45"/>
  <c r="F60" i="45"/>
  <c r="F55" i="45"/>
  <c r="F52" i="45"/>
  <c r="F47" i="45"/>
  <c r="F44" i="45"/>
  <c r="F36" i="45"/>
  <c r="F32" i="45"/>
  <c r="F23" i="45"/>
  <c r="F93" i="45"/>
  <c r="F87" i="45"/>
  <c r="F75" i="45"/>
  <c r="F71" i="45"/>
  <c r="F67" i="45"/>
  <c r="F63" i="45"/>
  <c r="F73" i="45"/>
  <c r="F79" i="45"/>
  <c r="F70" i="45"/>
  <c r="F39" i="45"/>
  <c r="F34" i="45"/>
  <c r="F27" i="45"/>
  <c r="D21" i="45"/>
  <c r="F19" i="45"/>
  <c r="F85" i="45"/>
  <c r="F82" i="45"/>
  <c r="F78" i="45"/>
  <c r="F65" i="45"/>
  <c r="F61" i="45"/>
  <c r="F58" i="45"/>
  <c r="F53" i="45"/>
  <c r="F50" i="45"/>
  <c r="F45" i="45"/>
  <c r="F42" i="45"/>
  <c r="F38" i="45"/>
  <c r="F26" i="45"/>
  <c r="F18" i="45"/>
  <c r="F24" i="45"/>
  <c r="F83" i="45"/>
  <c r="F46" i="45"/>
  <c r="F43" i="45"/>
  <c r="F35" i="45"/>
  <c r="L12" i="45"/>
  <c r="F86" i="45"/>
  <c r="F66" i="45"/>
  <c r="F59" i="45"/>
  <c r="F54" i="45"/>
  <c r="F51" i="45"/>
  <c r="F62" i="45"/>
  <c r="F28" i="45"/>
  <c r="F29" i="45"/>
  <c r="F17" i="45"/>
  <c r="F81" i="45"/>
  <c r="F56" i="45"/>
  <c r="F30" i="45"/>
  <c r="F48" i="45"/>
  <c r="F41" i="45"/>
  <c r="F57" i="45"/>
  <c r="F49" i="45"/>
  <c r="F80" i="45"/>
  <c r="F21" i="45"/>
  <c r="F74" i="45"/>
  <c r="F31" i="45"/>
  <c r="F40" i="45"/>
  <c r="D27" i="43"/>
  <c r="L18" i="43"/>
  <c r="Z18" i="41"/>
  <c r="T27" i="41"/>
  <c r="X18" i="30"/>
  <c r="P27" i="30"/>
  <c r="X27" i="38"/>
  <c r="P31" i="38"/>
  <c r="N27" i="40"/>
  <c r="H31" i="40"/>
  <c r="R99" i="42"/>
  <c r="R88" i="42"/>
  <c r="R84" i="42"/>
  <c r="R77" i="42"/>
  <c r="R44" i="42"/>
  <c r="R41" i="42"/>
  <c r="R36" i="42"/>
  <c r="R32" i="42"/>
  <c r="R83" i="42"/>
  <c r="R67" i="42"/>
  <c r="R63" i="42"/>
  <c r="R60" i="42"/>
  <c r="R55" i="42"/>
  <c r="R52" i="42"/>
  <c r="R31" i="42"/>
  <c r="P23" i="42"/>
  <c r="R97" i="42"/>
  <c r="R90" i="42"/>
  <c r="R87" i="42"/>
  <c r="R82" i="42"/>
  <c r="R74" i="42"/>
  <c r="R66" i="42"/>
  <c r="R46" i="42"/>
  <c r="R43" i="42"/>
  <c r="R35" i="42"/>
  <c r="R30" i="42"/>
  <c r="R100" i="42"/>
  <c r="R93" i="42"/>
  <c r="R81" i="42"/>
  <c r="R73" i="42"/>
  <c r="R69" i="42"/>
  <c r="R65" i="42"/>
  <c r="R62" i="42"/>
  <c r="R57" i="42"/>
  <c r="R54" i="42"/>
  <c r="R49" i="42"/>
  <c r="R29" i="42"/>
  <c r="R21" i="42"/>
  <c r="R92" i="42"/>
  <c r="R89" i="42"/>
  <c r="R80" i="42"/>
  <c r="R76" i="42"/>
  <c r="R72" i="42"/>
  <c r="R48" i="42"/>
  <c r="R45" i="42"/>
  <c r="R40" i="42"/>
  <c r="R28" i="42"/>
  <c r="R25" i="42"/>
  <c r="R20" i="42"/>
  <c r="X12" i="42"/>
  <c r="Z12" i="42" s="1"/>
  <c r="R104" i="42"/>
  <c r="R91" i="42"/>
  <c r="R86" i="42"/>
  <c r="R78" i="42"/>
  <c r="R75" i="42"/>
  <c r="R47" i="42"/>
  <c r="R42" i="42"/>
  <c r="R38" i="42"/>
  <c r="R34" i="42"/>
  <c r="R19" i="42"/>
  <c r="R68" i="42"/>
  <c r="R64" i="42"/>
  <c r="R33" i="42"/>
  <c r="R27" i="42"/>
  <c r="R58" i="42"/>
  <c r="R51" i="42"/>
  <c r="R37" i="42"/>
  <c r="R98" i="42"/>
  <c r="R70" i="42"/>
  <c r="R53" i="42"/>
  <c r="R94" i="42"/>
  <c r="R59" i="42"/>
  <c r="R85" i="42"/>
  <c r="R71" i="42"/>
  <c r="R61" i="42"/>
  <c r="R39" i="42"/>
  <c r="R56" i="42"/>
  <c r="R26" i="42"/>
  <c r="R95" i="42"/>
  <c r="R79" i="42"/>
  <c r="R50" i="42"/>
  <c r="D112" i="39"/>
  <c r="X18" i="24"/>
  <c r="P27" i="24"/>
  <c r="D36" i="44"/>
  <c r="P27" i="33"/>
  <c r="X18" i="33"/>
  <c r="V70" i="31"/>
  <c r="V62" i="31"/>
  <c r="V58" i="31"/>
  <c r="V50" i="31"/>
  <c r="V38" i="31"/>
  <c r="V83" i="31"/>
  <c r="V73" i="31"/>
  <c r="V69" i="31"/>
  <c r="V65" i="31"/>
  <c r="V61" i="31"/>
  <c r="V49" i="31"/>
  <c r="V37" i="31"/>
  <c r="V33" i="31"/>
  <c r="V29" i="31"/>
  <c r="V78" i="31"/>
  <c r="V72" i="31"/>
  <c r="V68" i="31"/>
  <c r="V64" i="31"/>
  <c r="V60" i="31"/>
  <c r="V52" i="31"/>
  <c r="V36" i="31"/>
  <c r="V28" i="31"/>
  <c r="V79" i="31"/>
  <c r="V57" i="31"/>
  <c r="V53" i="31"/>
  <c r="V45" i="31"/>
  <c r="V41" i="31"/>
  <c r="V56" i="31"/>
  <c r="V46" i="31"/>
  <c r="V39" i="31"/>
  <c r="V59" i="31"/>
  <c r="V54" i="31"/>
  <c r="V40" i="31"/>
  <c r="V35" i="31"/>
  <c r="T31" i="31"/>
  <c r="V71" i="31"/>
  <c r="V43" i="31"/>
  <c r="V74" i="31"/>
  <c r="V44" i="31"/>
  <c r="V75" i="31"/>
  <c r="V42" i="31"/>
  <c r="V26" i="31"/>
  <c r="V66" i="31"/>
  <c r="V63" i="31"/>
  <c r="V51" i="31"/>
  <c r="V48" i="31"/>
  <c r="V47" i="31"/>
  <c r="V27" i="31"/>
  <c r="V77" i="31"/>
  <c r="V67" i="31"/>
  <c r="V55" i="31"/>
  <c r="V34" i="31"/>
  <c r="R107" i="25"/>
  <c r="R87" i="25"/>
  <c r="R82" i="25"/>
  <c r="R74" i="25"/>
  <c r="R62" i="25"/>
  <c r="R59" i="25"/>
  <c r="R54" i="25"/>
  <c r="R46" i="25"/>
  <c r="R112" i="25"/>
  <c r="R97" i="25"/>
  <c r="R93" i="25"/>
  <c r="R90" i="25"/>
  <c r="R81" i="25"/>
  <c r="R78" i="25"/>
  <c r="R73" i="25"/>
  <c r="R69" i="25"/>
  <c r="R61" i="25"/>
  <c r="R53" i="25"/>
  <c r="R45" i="25"/>
  <c r="R38" i="25"/>
  <c r="R113" i="25"/>
  <c r="R106" i="25"/>
  <c r="R102" i="25"/>
  <c r="R86" i="25"/>
  <c r="R83" i="25"/>
  <c r="R66" i="25"/>
  <c r="R50" i="25"/>
  <c r="R42" i="25"/>
  <c r="R111" i="25"/>
  <c r="R108" i="25"/>
  <c r="R101" i="25"/>
  <c r="R88" i="25"/>
  <c r="R85" i="25"/>
  <c r="R76" i="25"/>
  <c r="R64" i="25"/>
  <c r="R48" i="25"/>
  <c r="R40" i="25"/>
  <c r="R117" i="25"/>
  <c r="R104" i="25"/>
  <c r="R91" i="25"/>
  <c r="R79" i="25"/>
  <c r="R75" i="25"/>
  <c r="R63" i="25"/>
  <c r="R55" i="25"/>
  <c r="R47" i="25"/>
  <c r="R39" i="25"/>
  <c r="R96" i="25"/>
  <c r="R95" i="25"/>
  <c r="R60" i="25"/>
  <c r="R49" i="25"/>
  <c r="R77" i="25"/>
  <c r="X12" i="25"/>
  <c r="R110" i="25"/>
  <c r="R89" i="25"/>
  <c r="R84" i="25"/>
  <c r="R68" i="25"/>
  <c r="R67" i="25"/>
  <c r="R103" i="25"/>
  <c r="R92" i="25"/>
  <c r="R65" i="25"/>
  <c r="R100" i="25"/>
  <c r="R99" i="25"/>
  <c r="R70" i="25"/>
  <c r="R52" i="25"/>
  <c r="R51" i="25"/>
  <c r="R44" i="25"/>
  <c r="R43" i="25"/>
  <c r="R72" i="25"/>
  <c r="R71" i="25"/>
  <c r="R94" i="25"/>
  <c r="P57" i="25"/>
  <c r="R57" i="25" s="1"/>
  <c r="R41" i="25"/>
  <c r="R80" i="25"/>
  <c r="R98" i="25"/>
  <c r="R105" i="25"/>
  <c r="D81" i="31"/>
  <c r="T88" i="21"/>
  <c r="T27" i="19"/>
  <c r="Z18" i="19"/>
  <c r="L18" i="22"/>
  <c r="D27" i="22"/>
  <c r="P27" i="7"/>
  <c r="X18" i="7"/>
  <c r="T27" i="11"/>
  <c r="Z18" i="11"/>
  <c r="L16" i="9"/>
  <c r="D89" i="9"/>
  <c r="T22" i="6"/>
  <c r="Z16" i="6"/>
  <c r="P262" i="3"/>
  <c r="X153" i="3"/>
  <c r="D33" i="82"/>
  <c r="L16" i="82"/>
  <c r="D74" i="76"/>
  <c r="L20" i="76"/>
  <c r="F144" i="69"/>
  <c r="F134" i="69"/>
  <c r="F130" i="69"/>
  <c r="F126" i="69"/>
  <c r="F138" i="69"/>
  <c r="F139" i="69"/>
  <c r="F133" i="69"/>
  <c r="F121" i="69"/>
  <c r="F124" i="69"/>
  <c r="F136" i="69"/>
  <c r="F135" i="69"/>
  <c r="F125" i="69"/>
  <c r="F113" i="69"/>
  <c r="F101" i="69"/>
  <c r="F90" i="69"/>
  <c r="F74" i="69"/>
  <c r="F66" i="69"/>
  <c r="F58" i="69"/>
  <c r="F140" i="69"/>
  <c r="F116" i="69"/>
  <c r="F109" i="69"/>
  <c r="F89" i="69"/>
  <c r="D83" i="69"/>
  <c r="F81" i="69"/>
  <c r="F73" i="69"/>
  <c r="F65" i="69"/>
  <c r="F57" i="69"/>
  <c r="F129" i="69"/>
  <c r="F128" i="69"/>
  <c r="F127" i="69"/>
  <c r="F122" i="69"/>
  <c r="F112" i="69"/>
  <c r="F103" i="69"/>
  <c r="F100" i="69"/>
  <c r="F95" i="69"/>
  <c r="F88" i="69"/>
  <c r="F80" i="69"/>
  <c r="F72" i="69"/>
  <c r="F64" i="69"/>
  <c r="F123" i="69"/>
  <c r="F118" i="69"/>
  <c r="F115" i="69"/>
  <c r="F111" i="69"/>
  <c r="F106" i="69"/>
  <c r="F99" i="69"/>
  <c r="F87" i="69"/>
  <c r="F79" i="69"/>
  <c r="F71" i="69"/>
  <c r="F63" i="69"/>
  <c r="F114" i="69"/>
  <c r="F102" i="69"/>
  <c r="F98" i="69"/>
  <c r="F94" i="69"/>
  <c r="F85" i="69"/>
  <c r="F78" i="69"/>
  <c r="F70" i="69"/>
  <c r="F62" i="69"/>
  <c r="F117" i="69"/>
  <c r="F108" i="69"/>
  <c r="F105" i="69"/>
  <c r="F97" i="69"/>
  <c r="F93" i="69"/>
  <c r="F77" i="69"/>
  <c r="F69" i="69"/>
  <c r="F61" i="69"/>
  <c r="F56" i="69"/>
  <c r="F132" i="69"/>
  <c r="F120" i="69"/>
  <c r="F104" i="69"/>
  <c r="F96" i="69"/>
  <c r="F92" i="69"/>
  <c r="F76" i="69"/>
  <c r="F68" i="69"/>
  <c r="F60" i="69"/>
  <c r="L12" i="69"/>
  <c r="F110" i="69"/>
  <c r="F75" i="69"/>
  <c r="F86" i="69"/>
  <c r="F59" i="69"/>
  <c r="F91" i="69"/>
  <c r="F107" i="69"/>
  <c r="F119" i="69"/>
  <c r="F131" i="69"/>
  <c r="F67" i="69"/>
  <c r="J36" i="48"/>
  <c r="J30" i="48"/>
  <c r="J24" i="48"/>
  <c r="H17" i="48"/>
  <c r="J17" i="48" s="1"/>
  <c r="J65" i="48"/>
  <c r="J57" i="48"/>
  <c r="J51" i="48"/>
  <c r="J47" i="48"/>
  <c r="J41" i="48"/>
  <c r="J35" i="48"/>
  <c r="J23" i="48"/>
  <c r="J54" i="48"/>
  <c r="J50" i="48"/>
  <c r="J44" i="48"/>
  <c r="J38" i="48"/>
  <c r="J34" i="48"/>
  <c r="J22" i="48"/>
  <c r="J53" i="48"/>
  <c r="J49" i="48"/>
  <c r="J33" i="48"/>
  <c r="J29" i="48"/>
  <c r="J21" i="48"/>
  <c r="J19" i="48"/>
  <c r="J15" i="48"/>
  <c r="J60" i="48"/>
  <c r="J56" i="48"/>
  <c r="J46" i="48"/>
  <c r="J40" i="48"/>
  <c r="J32" i="48"/>
  <c r="J28" i="48"/>
  <c r="J58" i="48"/>
  <c r="J52" i="48"/>
  <c r="J48" i="48"/>
  <c r="J42" i="48"/>
  <c r="J26" i="48"/>
  <c r="J20" i="48"/>
  <c r="J61" i="48"/>
  <c r="J55" i="48"/>
  <c r="J45" i="48"/>
  <c r="J39" i="48"/>
  <c r="J25" i="48"/>
  <c r="J27" i="48"/>
  <c r="J37" i="48"/>
  <c r="L12" i="48"/>
  <c r="N12" i="48" s="1"/>
  <c r="J43" i="48"/>
  <c r="J31" i="48"/>
  <c r="T102" i="42"/>
  <c r="L18" i="100"/>
  <c r="D27" i="100"/>
  <c r="Z20" i="96"/>
  <c r="D31" i="99"/>
  <c r="D26" i="93"/>
  <c r="L16" i="93"/>
  <c r="T32" i="88"/>
  <c r="Z16" i="88"/>
  <c r="H32" i="88"/>
  <c r="N16" i="88"/>
  <c r="X16" i="88"/>
  <c r="P33" i="82"/>
  <c r="X16" i="82"/>
  <c r="R94" i="77"/>
  <c r="R53" i="77"/>
  <c r="R45" i="77"/>
  <c r="R38" i="77"/>
  <c r="R110" i="77"/>
  <c r="R104" i="77"/>
  <c r="R101" i="77"/>
  <c r="R80" i="77"/>
  <c r="R77" i="77"/>
  <c r="R72" i="77"/>
  <c r="R69" i="77"/>
  <c r="R64" i="77"/>
  <c r="R52" i="77"/>
  <c r="R49" i="77"/>
  <c r="R44" i="77"/>
  <c r="X12" i="77"/>
  <c r="R63" i="77"/>
  <c r="R51" i="77"/>
  <c r="R43" i="77"/>
  <c r="R103" i="77"/>
  <c r="R98" i="77"/>
  <c r="R90" i="77"/>
  <c r="R86" i="77"/>
  <c r="R82" i="77"/>
  <c r="R79" i="77"/>
  <c r="R74" i="77"/>
  <c r="R71" i="77"/>
  <c r="R66" i="77"/>
  <c r="R62" i="77"/>
  <c r="R58" i="77"/>
  <c r="R42" i="77"/>
  <c r="R97" i="77"/>
  <c r="R93" i="77"/>
  <c r="R89" i="77"/>
  <c r="R85" i="77"/>
  <c r="R61" i="77"/>
  <c r="R57" i="77"/>
  <c r="R50" i="77"/>
  <c r="R41" i="77"/>
  <c r="R106" i="77"/>
  <c r="R95" i="77"/>
  <c r="R55" i="77"/>
  <c r="P47" i="77"/>
  <c r="R39" i="77"/>
  <c r="R99" i="77"/>
  <c r="R81" i="77"/>
  <c r="R78" i="77"/>
  <c r="R73" i="77"/>
  <c r="R70" i="77"/>
  <c r="R65" i="77"/>
  <c r="R40" i="77"/>
  <c r="R91" i="77"/>
  <c r="R87" i="77"/>
  <c r="R59" i="77"/>
  <c r="R100" i="77"/>
  <c r="R96" i="77"/>
  <c r="R92" i="77"/>
  <c r="R88" i="77"/>
  <c r="R83" i="77"/>
  <c r="R75" i="77"/>
  <c r="R67" i="77"/>
  <c r="R56" i="77"/>
  <c r="R102" i="77"/>
  <c r="R60" i="77"/>
  <c r="R54" i="77"/>
  <c r="R76" i="77"/>
  <c r="R68" i="77"/>
  <c r="R84" i="77"/>
  <c r="T39" i="80"/>
  <c r="R78" i="79"/>
  <c r="J100" i="77"/>
  <c r="J96" i="77"/>
  <c r="J92" i="77"/>
  <c r="J88" i="77"/>
  <c r="J84" i="77"/>
  <c r="J76" i="77"/>
  <c r="J68" i="77"/>
  <c r="J60" i="77"/>
  <c r="J56" i="77"/>
  <c r="J50" i="77"/>
  <c r="J40" i="77"/>
  <c r="J95" i="77"/>
  <c r="J81" i="77"/>
  <c r="J73" i="77"/>
  <c r="J65" i="77"/>
  <c r="J55" i="77"/>
  <c r="J39" i="77"/>
  <c r="J106" i="77"/>
  <c r="J102" i="77"/>
  <c r="J78" i="77"/>
  <c r="J70" i="77"/>
  <c r="J54" i="77"/>
  <c r="H47" i="77"/>
  <c r="J99" i="77"/>
  <c r="J91" i="77"/>
  <c r="J87" i="77"/>
  <c r="J83" i="77"/>
  <c r="J75" i="77"/>
  <c r="J67" i="77"/>
  <c r="J59" i="77"/>
  <c r="J53" i="77"/>
  <c r="J45" i="77"/>
  <c r="J110" i="77"/>
  <c r="J104" i="77"/>
  <c r="J94" i="77"/>
  <c r="J80" i="77"/>
  <c r="J72" i="77"/>
  <c r="J64" i="77"/>
  <c r="J52" i="77"/>
  <c r="J44" i="77"/>
  <c r="J38" i="77"/>
  <c r="N12" i="77"/>
  <c r="J98" i="77"/>
  <c r="J90" i="77"/>
  <c r="J86" i="77"/>
  <c r="J82" i="77"/>
  <c r="J74" i="77"/>
  <c r="J66" i="77"/>
  <c r="J62" i="77"/>
  <c r="J58" i="77"/>
  <c r="J42" i="77"/>
  <c r="J103" i="77"/>
  <c r="J97" i="77"/>
  <c r="J93" i="77"/>
  <c r="J89" i="77"/>
  <c r="J77" i="77"/>
  <c r="J69" i="77"/>
  <c r="J57" i="77"/>
  <c r="J43" i="77"/>
  <c r="J61" i="77"/>
  <c r="J85" i="77"/>
  <c r="J79" i="77"/>
  <c r="J71" i="77"/>
  <c r="J49" i="77"/>
  <c r="J41" i="77"/>
  <c r="J101" i="77"/>
  <c r="J63" i="77"/>
  <c r="J51" i="77"/>
  <c r="X20" i="76"/>
  <c r="P74" i="76"/>
  <c r="D48" i="74"/>
  <c r="T48" i="74"/>
  <c r="L110" i="66"/>
  <c r="D72" i="58"/>
  <c r="J93" i="51"/>
  <c r="J85" i="51"/>
  <c r="J81" i="51"/>
  <c r="J75" i="51"/>
  <c r="J65" i="51"/>
  <c r="J61" i="51"/>
  <c r="J45" i="51"/>
  <c r="J37" i="51"/>
  <c r="J84" i="51"/>
  <c r="J78" i="51"/>
  <c r="J72" i="51"/>
  <c r="J64" i="51"/>
  <c r="J60" i="51"/>
  <c r="J44" i="51"/>
  <c r="J36" i="51"/>
  <c r="N12" i="51"/>
  <c r="J91" i="51"/>
  <c r="J87" i="51"/>
  <c r="J83" i="51"/>
  <c r="J69" i="51"/>
  <c r="J59" i="51"/>
  <c r="J53" i="51"/>
  <c r="J43" i="51"/>
  <c r="J94" i="51"/>
  <c r="J80" i="51"/>
  <c r="J74" i="51"/>
  <c r="J58" i="51"/>
  <c r="J50" i="51"/>
  <c r="J42" i="51"/>
  <c r="J89" i="51"/>
  <c r="J77" i="51"/>
  <c r="J71" i="51"/>
  <c r="J63" i="51"/>
  <c r="J57" i="51"/>
  <c r="H50" i="51"/>
  <c r="J41" i="51"/>
  <c r="J35" i="51"/>
  <c r="J98" i="51"/>
  <c r="J92" i="51"/>
  <c r="J86" i="51"/>
  <c r="J82" i="51"/>
  <c r="J76" i="51"/>
  <c r="J68" i="51"/>
  <c r="J56" i="51"/>
  <c r="J48" i="51"/>
  <c r="J40" i="51"/>
  <c r="J70" i="51"/>
  <c r="J66" i="51"/>
  <c r="J55" i="51"/>
  <c r="J46" i="51"/>
  <c r="J67" i="51"/>
  <c r="J88" i="51"/>
  <c r="J79" i="51"/>
  <c r="J52" i="51"/>
  <c r="J47" i="51"/>
  <c r="J38" i="51"/>
  <c r="J73" i="51"/>
  <c r="J54" i="51"/>
  <c r="J39" i="51"/>
  <c r="J62" i="51"/>
  <c r="R135" i="69"/>
  <c r="R127" i="69"/>
  <c r="R140" i="69"/>
  <c r="R144" i="69"/>
  <c r="R134" i="69"/>
  <c r="R130" i="69"/>
  <c r="R126" i="69"/>
  <c r="R122" i="69"/>
  <c r="R129" i="69"/>
  <c r="R125" i="69"/>
  <c r="R114" i="69"/>
  <c r="R102" i="69"/>
  <c r="R98" i="69"/>
  <c r="R94" i="69"/>
  <c r="R78" i="69"/>
  <c r="R70" i="69"/>
  <c r="R62" i="69"/>
  <c r="R117" i="69"/>
  <c r="R110" i="69"/>
  <c r="R105" i="69"/>
  <c r="R97" i="69"/>
  <c r="R93" i="69"/>
  <c r="R86" i="69"/>
  <c r="R77" i="69"/>
  <c r="R69" i="69"/>
  <c r="R61" i="69"/>
  <c r="R120" i="69"/>
  <c r="R113" i="69"/>
  <c r="R104" i="69"/>
  <c r="R101" i="69"/>
  <c r="R96" i="69"/>
  <c r="R92" i="69"/>
  <c r="R76" i="69"/>
  <c r="R68" i="69"/>
  <c r="R60" i="69"/>
  <c r="R133" i="69"/>
  <c r="R132" i="69"/>
  <c r="R131" i="69"/>
  <c r="R119" i="69"/>
  <c r="R116" i="69"/>
  <c r="R107" i="69"/>
  <c r="R91" i="69"/>
  <c r="P83" i="69"/>
  <c r="R83" i="69" s="1"/>
  <c r="R75" i="69"/>
  <c r="R67" i="69"/>
  <c r="R59" i="69"/>
  <c r="R124" i="69"/>
  <c r="R103" i="69"/>
  <c r="R95" i="69"/>
  <c r="R90" i="69"/>
  <c r="R74" i="69"/>
  <c r="R66" i="69"/>
  <c r="R58" i="69"/>
  <c r="R136" i="69"/>
  <c r="R118" i="69"/>
  <c r="R109" i="69"/>
  <c r="R106" i="69"/>
  <c r="R89" i="69"/>
  <c r="R81" i="69"/>
  <c r="R73" i="69"/>
  <c r="R65" i="69"/>
  <c r="R57" i="69"/>
  <c r="R128" i="69"/>
  <c r="R112" i="69"/>
  <c r="R100" i="69"/>
  <c r="R88" i="69"/>
  <c r="R85" i="69"/>
  <c r="R80" i="69"/>
  <c r="R72" i="69"/>
  <c r="R64" i="69"/>
  <c r="R56" i="69"/>
  <c r="X12" i="69"/>
  <c r="R138" i="69"/>
  <c r="R111" i="69"/>
  <c r="R139" i="69"/>
  <c r="R108" i="69"/>
  <c r="R87" i="69"/>
  <c r="R71" i="69"/>
  <c r="R123" i="69"/>
  <c r="R63" i="69"/>
  <c r="R115" i="69"/>
  <c r="R99" i="69"/>
  <c r="R79" i="69"/>
  <c r="R121" i="69"/>
  <c r="H31" i="54"/>
  <c r="N26" i="54"/>
  <c r="P60" i="59"/>
  <c r="Z18" i="53"/>
  <c r="T27" i="53"/>
  <c r="X18" i="49"/>
  <c r="P27" i="49"/>
  <c r="P31" i="52"/>
  <c r="H27" i="46"/>
  <c r="N18" i="46"/>
  <c r="L18" i="46"/>
  <c r="J84" i="45"/>
  <c r="J76" i="45"/>
  <c r="J68" i="45"/>
  <c r="J64" i="45"/>
  <c r="J60" i="45"/>
  <c r="J52" i="45"/>
  <c r="J44" i="45"/>
  <c r="J36" i="45"/>
  <c r="J32" i="45"/>
  <c r="J93" i="45"/>
  <c r="J87" i="45"/>
  <c r="J81" i="45"/>
  <c r="J75" i="45"/>
  <c r="J71" i="45"/>
  <c r="J67" i="45"/>
  <c r="J63" i="45"/>
  <c r="J57" i="45"/>
  <c r="J49" i="45"/>
  <c r="J41" i="45"/>
  <c r="J35" i="45"/>
  <c r="J31" i="45"/>
  <c r="J17" i="45"/>
  <c r="J86" i="45"/>
  <c r="J74" i="45"/>
  <c r="J66" i="45"/>
  <c r="J62" i="45"/>
  <c r="J54" i="45"/>
  <c r="J46" i="45"/>
  <c r="J80" i="45"/>
  <c r="J70" i="45"/>
  <c r="J56" i="45"/>
  <c r="J48" i="45"/>
  <c r="J82" i="45"/>
  <c r="J78" i="45"/>
  <c r="J72" i="45"/>
  <c r="J58" i="45"/>
  <c r="J50" i="45"/>
  <c r="J42" i="45"/>
  <c r="J38" i="45"/>
  <c r="J26" i="45"/>
  <c r="J18" i="45"/>
  <c r="J89" i="45"/>
  <c r="J77" i="45"/>
  <c r="J69" i="45"/>
  <c r="J55" i="45"/>
  <c r="J47" i="45"/>
  <c r="J37" i="45"/>
  <c r="J33" i="45"/>
  <c r="J25" i="45"/>
  <c r="J23" i="45"/>
  <c r="J59" i="45"/>
  <c r="J51" i="45"/>
  <c r="J45" i="45"/>
  <c r="N12" i="45"/>
  <c r="J85" i="45"/>
  <c r="J65" i="45"/>
  <c r="J53" i="45"/>
  <c r="J34" i="45"/>
  <c r="J61" i="45"/>
  <c r="J28" i="45"/>
  <c r="J27" i="45"/>
  <c r="J79" i="45"/>
  <c r="J73" i="45"/>
  <c r="J29" i="45"/>
  <c r="J40" i="45"/>
  <c r="J39" i="45"/>
  <c r="J24" i="45"/>
  <c r="H21" i="45"/>
  <c r="J19" i="45"/>
  <c r="J83" i="45"/>
  <c r="J21" i="45"/>
  <c r="J43" i="45"/>
  <c r="J30" i="45"/>
  <c r="T27" i="46"/>
  <c r="Z18" i="46"/>
  <c r="D36" i="46"/>
  <c r="P91" i="45"/>
  <c r="X21" i="45"/>
  <c r="H27" i="43"/>
  <c r="N18" i="43"/>
  <c r="T112" i="39"/>
  <c r="T31" i="38"/>
  <c r="Z27" i="38"/>
  <c r="L18" i="33"/>
  <c r="D27" i="33"/>
  <c r="V23" i="42"/>
  <c r="J103" i="36"/>
  <c r="J97" i="36"/>
  <c r="J87" i="36"/>
  <c r="J83" i="36"/>
  <c r="J79" i="36"/>
  <c r="J69" i="36"/>
  <c r="J61" i="36"/>
  <c r="J53" i="36"/>
  <c r="J112" i="36"/>
  <c r="J106" i="36"/>
  <c r="J94" i="36"/>
  <c r="J86" i="36"/>
  <c r="J78" i="36"/>
  <c r="J66" i="36"/>
  <c r="J58" i="36"/>
  <c r="J44" i="36"/>
  <c r="J38" i="36"/>
  <c r="J99" i="36"/>
  <c r="J93" i="36"/>
  <c r="J75" i="36"/>
  <c r="J71" i="36"/>
  <c r="J63" i="36"/>
  <c r="J55" i="36"/>
  <c r="J49" i="36"/>
  <c r="J33" i="36"/>
  <c r="J102" i="36"/>
  <c r="J96" i="36"/>
  <c r="J92" i="36"/>
  <c r="J82" i="36"/>
  <c r="J68" i="36"/>
  <c r="J60" i="36"/>
  <c r="J52" i="36"/>
  <c r="J46" i="36"/>
  <c r="J107" i="36"/>
  <c r="J91" i="36"/>
  <c r="J85" i="36"/>
  <c r="J77" i="36"/>
  <c r="J65" i="36"/>
  <c r="J57" i="36"/>
  <c r="J51" i="36"/>
  <c r="J43" i="36"/>
  <c r="J37" i="36"/>
  <c r="J105" i="36"/>
  <c r="J101" i="36"/>
  <c r="J95" i="36"/>
  <c r="J89" i="36"/>
  <c r="J81" i="36"/>
  <c r="J73" i="36"/>
  <c r="J67" i="36"/>
  <c r="J59" i="36"/>
  <c r="J45" i="36"/>
  <c r="J41" i="36"/>
  <c r="J108" i="36"/>
  <c r="J70" i="36"/>
  <c r="J28" i="36"/>
  <c r="J26" i="36"/>
  <c r="J88" i="36"/>
  <c r="J62" i="36"/>
  <c r="J50" i="36"/>
  <c r="J42" i="36"/>
  <c r="J74" i="36"/>
  <c r="J54" i="36"/>
  <c r="J39" i="36"/>
  <c r="J20" i="36"/>
  <c r="J100" i="36"/>
  <c r="J27" i="36"/>
  <c r="J40" i="36"/>
  <c r="J24" i="36"/>
  <c r="J90" i="36"/>
  <c r="J84" i="36"/>
  <c r="J76" i="36"/>
  <c r="J64" i="36"/>
  <c r="J56" i="36"/>
  <c r="J48" i="36"/>
  <c r="J36" i="36"/>
  <c r="J34" i="36"/>
  <c r="J30" i="36"/>
  <c r="J22" i="36"/>
  <c r="J72" i="36"/>
  <c r="J31" i="36"/>
  <c r="H24" i="36"/>
  <c r="J47" i="36"/>
  <c r="J32" i="36"/>
  <c r="J29" i="36"/>
  <c r="J21" i="36"/>
  <c r="J98" i="36"/>
  <c r="J80" i="36"/>
  <c r="J35" i="36"/>
  <c r="X18" i="27"/>
  <c r="P27" i="27"/>
  <c r="V105" i="36"/>
  <c r="V95" i="36"/>
  <c r="V91" i="36"/>
  <c r="V67" i="36"/>
  <c r="V59" i="36"/>
  <c r="V51" i="36"/>
  <c r="V108" i="36"/>
  <c r="V98" i="36"/>
  <c r="V90" i="36"/>
  <c r="V74" i="36"/>
  <c r="V70" i="36"/>
  <c r="V62" i="36"/>
  <c r="V54" i="36"/>
  <c r="V50" i="36"/>
  <c r="V42" i="36"/>
  <c r="V101" i="36"/>
  <c r="V97" i="36"/>
  <c r="V89" i="36"/>
  <c r="V81" i="36"/>
  <c r="V73" i="36"/>
  <c r="V69" i="36"/>
  <c r="V61" i="36"/>
  <c r="V53" i="36"/>
  <c r="V45" i="36"/>
  <c r="V41" i="36"/>
  <c r="V106" i="36"/>
  <c r="V100" i="36"/>
  <c r="V88" i="36"/>
  <c r="V84" i="36"/>
  <c r="V80" i="36"/>
  <c r="V76" i="36"/>
  <c r="V72" i="36"/>
  <c r="V64" i="36"/>
  <c r="V56" i="36"/>
  <c r="V44" i="36"/>
  <c r="V40" i="36"/>
  <c r="V36" i="36"/>
  <c r="V103" i="36"/>
  <c r="V99" i="36"/>
  <c r="V87" i="36"/>
  <c r="V83" i="36"/>
  <c r="V79" i="36"/>
  <c r="V75" i="36"/>
  <c r="V71" i="36"/>
  <c r="V63" i="36"/>
  <c r="V55" i="36"/>
  <c r="V47" i="36"/>
  <c r="V39" i="36"/>
  <c r="V35" i="36"/>
  <c r="V107" i="36"/>
  <c r="V93" i="36"/>
  <c r="V85" i="36"/>
  <c r="V77" i="36"/>
  <c r="V65" i="36"/>
  <c r="V57" i="36"/>
  <c r="V49" i="36"/>
  <c r="V37" i="36"/>
  <c r="V86" i="36"/>
  <c r="V78" i="36"/>
  <c r="V66" i="36"/>
  <c r="V58" i="36"/>
  <c r="V43" i="36"/>
  <c r="V102" i="36"/>
  <c r="V46" i="36"/>
  <c r="V33" i="36"/>
  <c r="V32" i="36"/>
  <c r="V31" i="36"/>
  <c r="V96" i="36"/>
  <c r="V92" i="36"/>
  <c r="V34" i="36"/>
  <c r="V30" i="36"/>
  <c r="V26" i="36"/>
  <c r="V22" i="36"/>
  <c r="V68" i="36"/>
  <c r="V60" i="36"/>
  <c r="V48" i="36"/>
  <c r="V29" i="36"/>
  <c r="V21" i="36"/>
  <c r="V52" i="36"/>
  <c r="V28" i="36"/>
  <c r="V20" i="36"/>
  <c r="V94" i="36"/>
  <c r="V38" i="36"/>
  <c r="V24" i="36"/>
  <c r="T24" i="36"/>
  <c r="X12" i="36"/>
  <c r="Z12" i="36" s="1"/>
  <c r="V82" i="36"/>
  <c r="V112" i="36"/>
  <c r="V27" i="36"/>
  <c r="X107" i="39"/>
  <c r="Z107" i="39" s="1"/>
  <c r="H27" i="30"/>
  <c r="L27" i="30" s="1"/>
  <c r="N18" i="30"/>
  <c r="J113" i="25"/>
  <c r="J105" i="25"/>
  <c r="J89" i="25"/>
  <c r="J83" i="25"/>
  <c r="J77" i="25"/>
  <c r="J65" i="25"/>
  <c r="J57" i="25"/>
  <c r="J49" i="25"/>
  <c r="J41" i="25"/>
  <c r="J108" i="25"/>
  <c r="J98" i="25"/>
  <c r="J94" i="25"/>
  <c r="J88" i="25"/>
  <c r="J76" i="25"/>
  <c r="J70" i="25"/>
  <c r="J64" i="25"/>
  <c r="H57" i="25"/>
  <c r="J48" i="25"/>
  <c r="J40" i="25"/>
  <c r="J107" i="25"/>
  <c r="J97" i="25"/>
  <c r="J93" i="25"/>
  <c r="J87" i="25"/>
  <c r="J81" i="25"/>
  <c r="J73" i="25"/>
  <c r="J69" i="25"/>
  <c r="J61" i="25"/>
  <c r="J59" i="25"/>
  <c r="J53" i="25"/>
  <c r="J45" i="25"/>
  <c r="J103" i="25"/>
  <c r="J99" i="25"/>
  <c r="J95" i="25"/>
  <c r="J71" i="25"/>
  <c r="J67" i="25"/>
  <c r="J51" i="25"/>
  <c r="J43" i="25"/>
  <c r="J110" i="25"/>
  <c r="J106" i="25"/>
  <c r="J102" i="25"/>
  <c r="J92" i="25"/>
  <c r="J86" i="25"/>
  <c r="J80" i="25"/>
  <c r="J66" i="25"/>
  <c r="J60" i="25"/>
  <c r="J50" i="25"/>
  <c r="J42" i="25"/>
  <c r="J101" i="25"/>
  <c r="J100" i="25"/>
  <c r="J52" i="25"/>
  <c r="J44" i="25"/>
  <c r="J72" i="25"/>
  <c r="J63" i="25"/>
  <c r="J82" i="25"/>
  <c r="J117" i="25"/>
  <c r="J104" i="25"/>
  <c r="J90" i="25"/>
  <c r="J79" i="25"/>
  <c r="J54" i="25"/>
  <c r="J46" i="25"/>
  <c r="J38" i="25"/>
  <c r="J112" i="25"/>
  <c r="J111" i="25"/>
  <c r="J91" i="25"/>
  <c r="J85" i="25"/>
  <c r="J84" i="25"/>
  <c r="J74" i="25"/>
  <c r="J68" i="25"/>
  <c r="J47" i="25"/>
  <c r="J39" i="25"/>
  <c r="J75" i="25"/>
  <c r="J55" i="25"/>
  <c r="J62" i="25"/>
  <c r="N12" i="25"/>
  <c r="J78" i="25"/>
  <c r="J96" i="25"/>
  <c r="T27" i="23"/>
  <c r="Z18" i="23"/>
  <c r="H27" i="27"/>
  <c r="N18" i="27"/>
  <c r="L18" i="27"/>
  <c r="D110" i="36"/>
  <c r="L24" i="36"/>
  <c r="V27" i="21"/>
  <c r="N27" i="22"/>
  <c r="H31" i="22"/>
  <c r="X18" i="16"/>
  <c r="P27" i="16"/>
  <c r="Z18" i="16"/>
  <c r="T27" i="16"/>
  <c r="D22" i="6"/>
  <c r="L16" i="6"/>
  <c r="L18" i="11"/>
  <c r="D27" i="11"/>
  <c r="H36" i="10"/>
  <c r="N36" i="10" s="1"/>
  <c r="N31" i="10"/>
  <c r="R221" i="12"/>
  <c r="R210" i="12"/>
  <c r="R206" i="12"/>
  <c r="R183" i="12"/>
  <c r="R178" i="12"/>
  <c r="R166" i="12"/>
  <c r="R163" i="12"/>
  <c r="R154" i="12"/>
  <c r="R142" i="12"/>
  <c r="R138" i="12"/>
  <c r="R130" i="12"/>
  <c r="R122" i="12"/>
  <c r="R114" i="12"/>
  <c r="R106" i="12"/>
  <c r="R98" i="12"/>
  <c r="R90" i="12"/>
  <c r="R224" i="12"/>
  <c r="R217" i="12"/>
  <c r="R213" i="12"/>
  <c r="R205" i="12"/>
  <c r="R197" i="12"/>
  <c r="R177" i="12"/>
  <c r="R174" i="12"/>
  <c r="R169" i="12"/>
  <c r="R157" i="12"/>
  <c r="R150" i="12"/>
  <c r="R141" i="12"/>
  <c r="R137" i="12"/>
  <c r="R121" i="12"/>
  <c r="R113" i="12"/>
  <c r="R105" i="12"/>
  <c r="R97" i="12"/>
  <c r="R89" i="12"/>
  <c r="R82" i="12"/>
  <c r="R216" i="12"/>
  <c r="R209" i="12"/>
  <c r="R204" i="12"/>
  <c r="R200" i="12"/>
  <c r="R196" i="12"/>
  <c r="R180" i="12"/>
  <c r="R168" i="12"/>
  <c r="R165" i="12"/>
  <c r="R160" i="12"/>
  <c r="R156" i="12"/>
  <c r="R153" i="12"/>
  <c r="R136" i="12"/>
  <c r="R129" i="12"/>
  <c r="R120" i="12"/>
  <c r="R112" i="12"/>
  <c r="R104" i="12"/>
  <c r="R96" i="12"/>
  <c r="R88" i="12"/>
  <c r="R222" i="12"/>
  <c r="R219" i="12"/>
  <c r="R215" i="12"/>
  <c r="R212" i="12"/>
  <c r="R203" i="12"/>
  <c r="R199" i="12"/>
  <c r="R195" i="12"/>
  <c r="R191" i="12"/>
  <c r="R187" i="12"/>
  <c r="R176" i="12"/>
  <c r="R171" i="12"/>
  <c r="R159" i="12"/>
  <c r="R147" i="12"/>
  <c r="R140" i="12"/>
  <c r="R135" i="12"/>
  <c r="R119" i="12"/>
  <c r="R111" i="12"/>
  <c r="R103" i="12"/>
  <c r="R95" i="12"/>
  <c r="R87" i="12"/>
  <c r="R218" i="12"/>
  <c r="R214" i="12"/>
  <c r="R198" i="12"/>
  <c r="R193" i="12"/>
  <c r="R189" i="12"/>
  <c r="R185" i="12"/>
  <c r="R173" i="12"/>
  <c r="R170" i="12"/>
  <c r="R158" i="12"/>
  <c r="R149" i="12"/>
  <c r="R145" i="12"/>
  <c r="R133" i="12"/>
  <c r="R117" i="12"/>
  <c r="R109" i="12"/>
  <c r="R101" i="12"/>
  <c r="R93" i="12"/>
  <c r="R85" i="12"/>
  <c r="R223" i="12"/>
  <c r="R208" i="12"/>
  <c r="R201" i="12"/>
  <c r="R184" i="12"/>
  <c r="R181" i="12"/>
  <c r="R164" i="12"/>
  <c r="R161" i="12"/>
  <c r="R152" i="12"/>
  <c r="R144" i="12"/>
  <c r="R132" i="12"/>
  <c r="R124" i="12"/>
  <c r="R116" i="12"/>
  <c r="R108" i="12"/>
  <c r="R100" i="12"/>
  <c r="R229" i="12"/>
  <c r="R211" i="12"/>
  <c r="R207" i="12"/>
  <c r="R192" i="12"/>
  <c r="R188" i="12"/>
  <c r="R175" i="12"/>
  <c r="R172" i="12"/>
  <c r="R151" i="12"/>
  <c r="R148" i="12"/>
  <c r="R143" i="12"/>
  <c r="R139" i="12"/>
  <c r="R131" i="12"/>
  <c r="R128" i="12"/>
  <c r="R123" i="12"/>
  <c r="R115" i="12"/>
  <c r="R107" i="12"/>
  <c r="R99" i="12"/>
  <c r="R91" i="12"/>
  <c r="R83" i="12"/>
  <c r="R84" i="12"/>
  <c r="R155" i="12"/>
  <c r="R194" i="12"/>
  <c r="R186" i="12"/>
  <c r="R179" i="12"/>
  <c r="R146" i="12"/>
  <c r="X12" i="12"/>
  <c r="R202" i="12"/>
  <c r="R134" i="12"/>
  <c r="R94" i="12"/>
  <c r="R190" i="12"/>
  <c r="P126" i="12"/>
  <c r="R118" i="12"/>
  <c r="R102" i="12"/>
  <c r="R92" i="12"/>
  <c r="R162" i="12"/>
  <c r="R86" i="12"/>
  <c r="R225" i="12"/>
  <c r="R182" i="12"/>
  <c r="R167" i="12"/>
  <c r="R110" i="12"/>
  <c r="P31" i="5"/>
  <c r="R108" i="39"/>
  <c r="R105" i="39"/>
  <c r="R89" i="39"/>
  <c r="R81" i="39"/>
  <c r="R78" i="39"/>
  <c r="R74" i="39"/>
  <c r="R69" i="39"/>
  <c r="R66" i="39"/>
  <c r="R57" i="39"/>
  <c r="R54" i="39"/>
  <c r="R49" i="39"/>
  <c r="R37" i="39"/>
  <c r="R29" i="39"/>
  <c r="R114" i="39"/>
  <c r="R101" i="39"/>
  <c r="R96" i="39"/>
  <c r="R88" i="39"/>
  <c r="R85" i="39"/>
  <c r="R60" i="39"/>
  <c r="R48" i="39"/>
  <c r="R36" i="39"/>
  <c r="R33" i="39"/>
  <c r="R28" i="39"/>
  <c r="X12" i="39"/>
  <c r="Z12" i="39" s="1"/>
  <c r="R104" i="39"/>
  <c r="R95" i="39"/>
  <c r="R80" i="39"/>
  <c r="R71" i="39"/>
  <c r="R68" i="39"/>
  <c r="R56" i="39"/>
  <c r="R51" i="39"/>
  <c r="R47" i="39"/>
  <c r="R43" i="39"/>
  <c r="R35" i="39"/>
  <c r="R109" i="39"/>
  <c r="R98" i="39"/>
  <c r="R94" i="39"/>
  <c r="R87" i="39"/>
  <c r="R62" i="39"/>
  <c r="R59" i="39"/>
  <c r="R46" i="39"/>
  <c r="R42" i="39"/>
  <c r="R27" i="39"/>
  <c r="R93" i="39"/>
  <c r="R77" i="39"/>
  <c r="R73" i="39"/>
  <c r="R70" i="39"/>
  <c r="R65" i="39"/>
  <c r="R53" i="39"/>
  <c r="R50" i="39"/>
  <c r="R45" i="39"/>
  <c r="R41" i="39"/>
  <c r="R34" i="39"/>
  <c r="R110" i="39"/>
  <c r="R103" i="39"/>
  <c r="R91" i="39"/>
  <c r="R83" i="39"/>
  <c r="R79" i="39"/>
  <c r="R75" i="39"/>
  <c r="R72" i="39"/>
  <c r="R67" i="39"/>
  <c r="R55" i="39"/>
  <c r="R52" i="39"/>
  <c r="R44" i="39"/>
  <c r="R39" i="39"/>
  <c r="P31" i="39"/>
  <c r="R90" i="39"/>
  <c r="R84" i="39"/>
  <c r="R100" i="39"/>
  <c r="R86" i="39"/>
  <c r="R61" i="39"/>
  <c r="R102" i="39"/>
  <c r="R63" i="39"/>
  <c r="R107" i="39"/>
  <c r="R82" i="39"/>
  <c r="R40" i="39"/>
  <c r="R97" i="39"/>
  <c r="R92" i="39"/>
  <c r="R76" i="39"/>
  <c r="R58" i="39"/>
  <c r="R38" i="39"/>
  <c r="R64" i="39"/>
  <c r="R99" i="39"/>
  <c r="P31" i="99"/>
  <c r="D81" i="95"/>
  <c r="L21" i="95"/>
  <c r="T27" i="100"/>
  <c r="Z18" i="100"/>
  <c r="D31" i="98"/>
  <c r="N18" i="100"/>
  <c r="H27" i="100"/>
  <c r="P63" i="97"/>
  <c r="F21" i="95"/>
  <c r="D84" i="94"/>
  <c r="F21" i="94"/>
  <c r="D48" i="91"/>
  <c r="L16" i="91"/>
  <c r="H48" i="91"/>
  <c r="N16" i="91"/>
  <c r="P48" i="91"/>
  <c r="X16" i="91"/>
  <c r="P51" i="90"/>
  <c r="P36" i="88"/>
  <c r="X32" i="88"/>
  <c r="X16" i="81"/>
  <c r="P72" i="81"/>
  <c r="Z63" i="86"/>
  <c r="N20" i="79"/>
  <c r="H81" i="79"/>
  <c r="D30" i="78"/>
  <c r="L20" i="78"/>
  <c r="T72" i="81"/>
  <c r="T67" i="73"/>
  <c r="V20" i="73"/>
  <c r="Z91" i="71"/>
  <c r="D78" i="70"/>
  <c r="N110" i="66"/>
  <c r="J129" i="69"/>
  <c r="J125" i="69"/>
  <c r="J136" i="69"/>
  <c r="J135" i="69"/>
  <c r="J127" i="69"/>
  <c r="J140" i="69"/>
  <c r="J132" i="69"/>
  <c r="J124" i="69"/>
  <c r="J109" i="69"/>
  <c r="J103" i="69"/>
  <c r="J95" i="69"/>
  <c r="J89" i="69"/>
  <c r="J81" i="69"/>
  <c r="J73" i="69"/>
  <c r="J65" i="69"/>
  <c r="J57" i="69"/>
  <c r="J139" i="69"/>
  <c r="J138" i="69"/>
  <c r="J128" i="69"/>
  <c r="J122" i="69"/>
  <c r="J118" i="69"/>
  <c r="J112" i="69"/>
  <c r="J106" i="69"/>
  <c r="J100" i="69"/>
  <c r="J88" i="69"/>
  <c r="J80" i="69"/>
  <c r="J72" i="69"/>
  <c r="J64" i="69"/>
  <c r="J126" i="69"/>
  <c r="J123" i="69"/>
  <c r="J115" i="69"/>
  <c r="J111" i="69"/>
  <c r="J99" i="69"/>
  <c r="J87" i="69"/>
  <c r="J85" i="69"/>
  <c r="J79" i="69"/>
  <c r="J71" i="69"/>
  <c r="J63" i="69"/>
  <c r="J121" i="69"/>
  <c r="J114" i="69"/>
  <c r="J108" i="69"/>
  <c r="J102" i="69"/>
  <c r="J98" i="69"/>
  <c r="J94" i="69"/>
  <c r="J78" i="69"/>
  <c r="J70" i="69"/>
  <c r="J62" i="69"/>
  <c r="J56" i="69"/>
  <c r="J144" i="69"/>
  <c r="J130" i="69"/>
  <c r="J117" i="69"/>
  <c r="J105" i="69"/>
  <c r="J97" i="69"/>
  <c r="J93" i="69"/>
  <c r="J77" i="69"/>
  <c r="J69" i="69"/>
  <c r="J61" i="69"/>
  <c r="J133" i="69"/>
  <c r="J120" i="69"/>
  <c r="J110" i="69"/>
  <c r="J104" i="69"/>
  <c r="J96" i="69"/>
  <c r="J92" i="69"/>
  <c r="J86" i="69"/>
  <c r="J76" i="69"/>
  <c r="J68" i="69"/>
  <c r="J60" i="69"/>
  <c r="N12" i="69"/>
  <c r="J134" i="69"/>
  <c r="J131" i="69"/>
  <c r="J119" i="69"/>
  <c r="J113" i="69"/>
  <c r="J107" i="69"/>
  <c r="J101" i="69"/>
  <c r="J91" i="69"/>
  <c r="J83" i="69"/>
  <c r="J75" i="69"/>
  <c r="J67" i="69"/>
  <c r="J59" i="69"/>
  <c r="J90" i="69"/>
  <c r="J58" i="69"/>
  <c r="J116" i="69"/>
  <c r="H83" i="69"/>
  <c r="J66" i="69"/>
  <c r="J74" i="69"/>
  <c r="X16" i="55"/>
  <c r="P30" i="55"/>
  <c r="D46" i="60"/>
  <c r="L16" i="60"/>
  <c r="R76" i="64"/>
  <c r="R72" i="64"/>
  <c r="R68" i="64"/>
  <c r="R56" i="64"/>
  <c r="R53" i="64"/>
  <c r="R32" i="64"/>
  <c r="R71" i="64"/>
  <c r="R64" i="64"/>
  <c r="R59" i="64"/>
  <c r="P39" i="64"/>
  <c r="R39" i="64" s="1"/>
  <c r="R31" i="64"/>
  <c r="R84" i="64"/>
  <c r="R78" i="64"/>
  <c r="R75" i="64"/>
  <c r="R67" i="64"/>
  <c r="R55" i="64"/>
  <c r="R50" i="64"/>
  <c r="R30" i="64"/>
  <c r="R70" i="64"/>
  <c r="R61" i="64"/>
  <c r="R58" i="64"/>
  <c r="R49" i="64"/>
  <c r="R45" i="64"/>
  <c r="R37" i="64"/>
  <c r="R29" i="64"/>
  <c r="R77" i="64"/>
  <c r="R52" i="64"/>
  <c r="R48" i="64"/>
  <c r="R44" i="64"/>
  <c r="R41" i="64"/>
  <c r="R36" i="64"/>
  <c r="R28" i="64"/>
  <c r="X12" i="64"/>
  <c r="Z12" i="64" s="1"/>
  <c r="R74" i="64"/>
  <c r="R66" i="64"/>
  <c r="R54" i="64"/>
  <c r="R51" i="64"/>
  <c r="R34" i="64"/>
  <c r="R27" i="64"/>
  <c r="R73" i="64"/>
  <c r="R43" i="64"/>
  <c r="R35" i="64"/>
  <c r="R69" i="64"/>
  <c r="R65" i="64"/>
  <c r="R63" i="64"/>
  <c r="R62" i="64"/>
  <c r="R57" i="64"/>
  <c r="R46" i="64"/>
  <c r="R33" i="64"/>
  <c r="R80" i="64"/>
  <c r="R60" i="64"/>
  <c r="R42" i="64"/>
  <c r="R47" i="64"/>
  <c r="D26" i="54"/>
  <c r="L22" i="54"/>
  <c r="N91" i="51"/>
  <c r="T27" i="49"/>
  <c r="Z18" i="49"/>
  <c r="L27" i="53"/>
  <c r="D31" i="53"/>
  <c r="T27" i="50"/>
  <c r="Z18" i="50"/>
  <c r="H27" i="49"/>
  <c r="N18" i="49"/>
  <c r="Z60" i="48"/>
  <c r="P63" i="48"/>
  <c r="T91" i="45"/>
  <c r="Z21" i="45"/>
  <c r="V21" i="45"/>
  <c r="P36" i="37"/>
  <c r="J95" i="42"/>
  <c r="J89" i="42"/>
  <c r="J79" i="42"/>
  <c r="J71" i="42"/>
  <c r="J59" i="42"/>
  <c r="J51" i="42"/>
  <c r="J45" i="42"/>
  <c r="J39" i="42"/>
  <c r="J27" i="42"/>
  <c r="J25" i="42"/>
  <c r="J104" i="42"/>
  <c r="J98" i="42"/>
  <c r="J86" i="42"/>
  <c r="J78" i="42"/>
  <c r="J68" i="42"/>
  <c r="J64" i="42"/>
  <c r="J56" i="42"/>
  <c r="J42" i="42"/>
  <c r="J38" i="42"/>
  <c r="J34" i="42"/>
  <c r="J91" i="42"/>
  <c r="J85" i="42"/>
  <c r="J75" i="42"/>
  <c r="J61" i="42"/>
  <c r="J53" i="42"/>
  <c r="J47" i="42"/>
  <c r="J37" i="42"/>
  <c r="J33" i="42"/>
  <c r="J19" i="42"/>
  <c r="J94" i="42"/>
  <c r="J88" i="42"/>
  <c r="J84" i="42"/>
  <c r="J70" i="42"/>
  <c r="J58" i="42"/>
  <c r="J50" i="42"/>
  <c r="J44" i="42"/>
  <c r="J36" i="42"/>
  <c r="J32" i="42"/>
  <c r="J26" i="42"/>
  <c r="J99" i="42"/>
  <c r="J83" i="42"/>
  <c r="J77" i="42"/>
  <c r="J67" i="42"/>
  <c r="J63" i="42"/>
  <c r="J55" i="42"/>
  <c r="J41" i="42"/>
  <c r="J31" i="42"/>
  <c r="J97" i="42"/>
  <c r="J93" i="42"/>
  <c r="J87" i="42"/>
  <c r="J81" i="42"/>
  <c r="J73" i="42"/>
  <c r="J69" i="42"/>
  <c r="J65" i="42"/>
  <c r="J57" i="42"/>
  <c r="J49" i="42"/>
  <c r="J43" i="42"/>
  <c r="J35" i="42"/>
  <c r="J29" i="42"/>
  <c r="J21" i="42"/>
  <c r="J100" i="42"/>
  <c r="J90" i="42"/>
  <c r="J82" i="42"/>
  <c r="J62" i="42"/>
  <c r="J30" i="42"/>
  <c r="H23" i="42"/>
  <c r="J76" i="42"/>
  <c r="J72" i="42"/>
  <c r="J52" i="42"/>
  <c r="J40" i="42"/>
  <c r="J92" i="42"/>
  <c r="J80" i="42"/>
  <c r="J20" i="42"/>
  <c r="N12" i="42"/>
  <c r="J60" i="42"/>
  <c r="J54" i="42"/>
  <c r="J48" i="42"/>
  <c r="J28" i="42"/>
  <c r="J46" i="42"/>
  <c r="J74" i="42"/>
  <c r="J66" i="42"/>
  <c r="D31" i="38"/>
  <c r="D27" i="29"/>
  <c r="L18" i="29"/>
  <c r="P27" i="35"/>
  <c r="X18" i="35"/>
  <c r="P110" i="36"/>
  <c r="X24" i="36"/>
  <c r="L97" i="42"/>
  <c r="N97" i="42" s="1"/>
  <c r="N18" i="29"/>
  <c r="H27" i="29"/>
  <c r="T27" i="27"/>
  <c r="Z18" i="27"/>
  <c r="N105" i="36"/>
  <c r="L18" i="23"/>
  <c r="D27" i="23"/>
  <c r="Z156" i="28"/>
  <c r="X156" i="28"/>
  <c r="L110" i="25"/>
  <c r="V153" i="28"/>
  <c r="V125" i="28"/>
  <c r="V121" i="28"/>
  <c r="V113" i="28"/>
  <c r="V101" i="28"/>
  <c r="V97" i="28"/>
  <c r="V93" i="28"/>
  <c r="V83" i="28"/>
  <c r="V77" i="28"/>
  <c r="V69" i="28"/>
  <c r="V61" i="28"/>
  <c r="V158" i="28"/>
  <c r="V148" i="28"/>
  <c r="V124" i="28"/>
  <c r="V116" i="28"/>
  <c r="V112" i="28"/>
  <c r="V104" i="28"/>
  <c r="V96" i="28"/>
  <c r="V92" i="28"/>
  <c r="T83" i="28"/>
  <c r="V76" i="28"/>
  <c r="V68" i="28"/>
  <c r="V60" i="28"/>
  <c r="V156" i="28"/>
  <c r="V150" i="28"/>
  <c r="V146" i="28"/>
  <c r="V138" i="28"/>
  <c r="V134" i="28"/>
  <c r="V130" i="28"/>
  <c r="V126" i="28"/>
  <c r="V118" i="28"/>
  <c r="V114" i="28"/>
  <c r="V106" i="28"/>
  <c r="V90" i="28"/>
  <c r="V74" i="28"/>
  <c r="V66" i="28"/>
  <c r="V58" i="28"/>
  <c r="V149" i="28"/>
  <c r="V145" i="28"/>
  <c r="V141" i="28"/>
  <c r="V137" i="28"/>
  <c r="V133" i="28"/>
  <c r="V129" i="28"/>
  <c r="V117" i="28"/>
  <c r="V109" i="28"/>
  <c r="V105" i="28"/>
  <c r="V89" i="28"/>
  <c r="V85" i="28"/>
  <c r="V81" i="28"/>
  <c r="V73" i="28"/>
  <c r="V65" i="28"/>
  <c r="V57" i="28"/>
  <c r="V162" i="28"/>
  <c r="V152" i="28"/>
  <c r="V144" i="28"/>
  <c r="V140" i="28"/>
  <c r="V136" i="28"/>
  <c r="V132" i="28"/>
  <c r="V128" i="28"/>
  <c r="V120" i="28"/>
  <c r="V108" i="28"/>
  <c r="V100" i="28"/>
  <c r="V88" i="28"/>
  <c r="V80" i="28"/>
  <c r="V157" i="28"/>
  <c r="V151" i="28"/>
  <c r="V143" i="28"/>
  <c r="V139" i="28"/>
  <c r="V135" i="28"/>
  <c r="V123" i="28"/>
  <c r="V119" i="28"/>
  <c r="V111" i="28"/>
  <c r="V107" i="28"/>
  <c r="V99" i="28"/>
  <c r="V87" i="28"/>
  <c r="V79" i="28"/>
  <c r="V71" i="28"/>
  <c r="V63" i="28"/>
  <c r="V154" i="28"/>
  <c r="V142" i="28"/>
  <c r="V122" i="28"/>
  <c r="V110" i="28"/>
  <c r="V102" i="28"/>
  <c r="V98" i="28"/>
  <c r="V94" i="28"/>
  <c r="V86" i="28"/>
  <c r="V78" i="28"/>
  <c r="V70" i="28"/>
  <c r="V62" i="28"/>
  <c r="V131" i="28"/>
  <c r="V115" i="28"/>
  <c r="V72" i="28"/>
  <c r="V75" i="28"/>
  <c r="V147" i="28"/>
  <c r="V103" i="28"/>
  <c r="V64" i="28"/>
  <c r="V127" i="28"/>
  <c r="V91" i="28"/>
  <c r="V67" i="28"/>
  <c r="V56" i="28"/>
  <c r="V95" i="28"/>
  <c r="V59" i="28"/>
  <c r="V239" i="18"/>
  <c r="V225" i="18"/>
  <c r="V221" i="18"/>
  <c r="V193" i="18"/>
  <c r="V181" i="18"/>
  <c r="V169" i="18"/>
  <c r="V161" i="18"/>
  <c r="V157" i="18"/>
  <c r="V149" i="18"/>
  <c r="V141" i="18"/>
  <c r="V133" i="18"/>
  <c r="V125" i="18"/>
  <c r="V117" i="18"/>
  <c r="V109" i="18"/>
  <c r="V101" i="18"/>
  <c r="V93" i="18"/>
  <c r="V242" i="18"/>
  <c r="V232" i="18"/>
  <c r="V228" i="18"/>
  <c r="V224" i="18"/>
  <c r="V220" i="18"/>
  <c r="V212" i="18"/>
  <c r="V196" i="18"/>
  <c r="V192" i="18"/>
  <c r="V184" i="18"/>
  <c r="V172" i="18"/>
  <c r="V168" i="18"/>
  <c r="V160" i="18"/>
  <c r="V156" i="18"/>
  <c r="V148" i="18"/>
  <c r="V140" i="18"/>
  <c r="V132" i="18"/>
  <c r="V124" i="18"/>
  <c r="V116" i="18"/>
  <c r="V108" i="18"/>
  <c r="V100" i="18"/>
  <c r="V237" i="18"/>
  <c r="V231" i="18"/>
  <c r="V227" i="18"/>
  <c r="V219" i="18"/>
  <c r="V215" i="18"/>
  <c r="V211" i="18"/>
  <c r="V207" i="18"/>
  <c r="V203" i="18"/>
  <c r="V195" i="18"/>
  <c r="V187" i="18"/>
  <c r="V183" i="18"/>
  <c r="V175" i="18"/>
  <c r="V171" i="18"/>
  <c r="V159" i="18"/>
  <c r="V155" i="18"/>
  <c r="V147" i="18"/>
  <c r="V139" i="18"/>
  <c r="V131" i="18"/>
  <c r="V123" i="18"/>
  <c r="V115" i="18"/>
  <c r="V233" i="18"/>
  <c r="V229" i="18"/>
  <c r="V217" i="18"/>
  <c r="V213" i="18"/>
  <c r="V209" i="18"/>
  <c r="V205" i="18"/>
  <c r="V201" i="18"/>
  <c r="V197" i="18"/>
  <c r="V189" i="18"/>
  <c r="V185" i="18"/>
  <c r="V177" i="18"/>
  <c r="V173" i="18"/>
  <c r="V165" i="18"/>
  <c r="V153" i="18"/>
  <c r="T144" i="18"/>
  <c r="V137" i="18"/>
  <c r="V129" i="18"/>
  <c r="V121" i="18"/>
  <c r="V113" i="18"/>
  <c r="V105" i="18"/>
  <c r="V97" i="18"/>
  <c r="V246" i="18"/>
  <c r="V238" i="18"/>
  <c r="V216" i="18"/>
  <c r="V208" i="18"/>
  <c r="V204" i="18"/>
  <c r="V200" i="18"/>
  <c r="V188" i="18"/>
  <c r="V180" i="18"/>
  <c r="V176" i="18"/>
  <c r="V164" i="18"/>
  <c r="V152" i="18"/>
  <c r="V136" i="18"/>
  <c r="V128" i="18"/>
  <c r="V120" i="18"/>
  <c r="V112" i="18"/>
  <c r="V104" i="18"/>
  <c r="V96" i="18"/>
  <c r="V241" i="18"/>
  <c r="V223" i="18"/>
  <c r="V199" i="18"/>
  <c r="V191" i="18"/>
  <c r="V179" i="18"/>
  <c r="V167" i="18"/>
  <c r="V163" i="18"/>
  <c r="V151" i="18"/>
  <c r="V236" i="18"/>
  <c r="V226" i="18"/>
  <c r="V222" i="18"/>
  <c r="V194" i="18"/>
  <c r="V190" i="18"/>
  <c r="V182" i="18"/>
  <c r="V170" i="18"/>
  <c r="V166" i="18"/>
  <c r="V162" i="18"/>
  <c r="V150" i="18"/>
  <c r="V146" i="18"/>
  <c r="V142" i="18"/>
  <c r="V134" i="18"/>
  <c r="V126" i="18"/>
  <c r="V118" i="18"/>
  <c r="V110" i="18"/>
  <c r="V102" i="18"/>
  <c r="V94" i="18"/>
  <c r="V202" i="18"/>
  <c r="V218" i="18"/>
  <c r="V174" i="18"/>
  <c r="V98" i="18"/>
  <c r="V95" i="18"/>
  <c r="V154" i="18"/>
  <c r="V135" i="18"/>
  <c r="V130" i="18"/>
  <c r="V106" i="18"/>
  <c r="V99" i="18"/>
  <c r="V234" i="18"/>
  <c r="V144" i="18"/>
  <c r="V138" i="18"/>
  <c r="V127" i="18"/>
  <c r="V103" i="18"/>
  <c r="V178" i="18"/>
  <c r="V158" i="18"/>
  <c r="V230" i="18"/>
  <c r="V122" i="18"/>
  <c r="V119" i="18"/>
  <c r="V111" i="18"/>
  <c r="V240" i="18"/>
  <c r="V210" i="18"/>
  <c r="V114" i="18"/>
  <c r="V206" i="18"/>
  <c r="V186" i="18"/>
  <c r="V214" i="18"/>
  <c r="V198" i="18"/>
  <c r="V107" i="18"/>
  <c r="Z110" i="25"/>
  <c r="X236" i="18"/>
  <c r="Z236" i="18" s="1"/>
  <c r="N27" i="14"/>
  <c r="T27" i="8"/>
  <c r="Z18" i="8"/>
  <c r="T27" i="4"/>
  <c r="X27" i="4" s="1"/>
  <c r="Z18" i="4"/>
  <c r="X18" i="10"/>
  <c r="P27" i="10"/>
  <c r="H27" i="5"/>
  <c r="N18" i="5"/>
  <c r="H27" i="8"/>
  <c r="N18" i="8"/>
  <c r="H27" i="4"/>
  <c r="N18" i="4"/>
  <c r="R213" i="15"/>
  <c r="R202" i="15"/>
  <c r="R198" i="15"/>
  <c r="R170" i="15"/>
  <c r="R167" i="15"/>
  <c r="R146" i="15"/>
  <c r="R143" i="15"/>
  <c r="R138" i="15"/>
  <c r="R134" i="15"/>
  <c r="R126" i="15"/>
  <c r="R123" i="15"/>
  <c r="R118" i="15"/>
  <c r="R110" i="15"/>
  <c r="R102" i="15"/>
  <c r="R94" i="15"/>
  <c r="R86" i="15"/>
  <c r="R79" i="15"/>
  <c r="R216" i="15"/>
  <c r="R209" i="15"/>
  <c r="R205" i="15"/>
  <c r="R197" i="15"/>
  <c r="R189" i="15"/>
  <c r="R173" i="15"/>
  <c r="R161" i="15"/>
  <c r="R158" i="15"/>
  <c r="R149" i="15"/>
  <c r="R137" i="15"/>
  <c r="R133" i="15"/>
  <c r="R125" i="15"/>
  <c r="R117" i="15"/>
  <c r="R109" i="15"/>
  <c r="R101" i="15"/>
  <c r="R93" i="15"/>
  <c r="R85" i="15"/>
  <c r="R208" i="15"/>
  <c r="R201" i="15"/>
  <c r="R196" i="15"/>
  <c r="R192" i="15"/>
  <c r="R188" i="15"/>
  <c r="R184" i="15"/>
  <c r="R180" i="15"/>
  <c r="R169" i="15"/>
  <c r="R164" i="15"/>
  <c r="R152" i="15"/>
  <c r="R145" i="15"/>
  <c r="R136" i="15"/>
  <c r="R132" i="15"/>
  <c r="R116" i="15"/>
  <c r="R108" i="15"/>
  <c r="R100" i="15"/>
  <c r="R92" i="15"/>
  <c r="R84" i="15"/>
  <c r="X12" i="15"/>
  <c r="R214" i="15"/>
  <c r="R211" i="15"/>
  <c r="R207" i="15"/>
  <c r="R204" i="15"/>
  <c r="R195" i="15"/>
  <c r="R191" i="15"/>
  <c r="R187" i="15"/>
  <c r="R183" i="15"/>
  <c r="R179" i="15"/>
  <c r="R175" i="15"/>
  <c r="R172" i="15"/>
  <c r="R163" i="15"/>
  <c r="R160" i="15"/>
  <c r="R155" i="15"/>
  <c r="R151" i="15"/>
  <c r="R148" i="15"/>
  <c r="R131" i="15"/>
  <c r="R124" i="15"/>
  <c r="R115" i="15"/>
  <c r="R107" i="15"/>
  <c r="R99" i="15"/>
  <c r="R91" i="15"/>
  <c r="R83" i="15"/>
  <c r="R210" i="15"/>
  <c r="R206" i="15"/>
  <c r="R190" i="15"/>
  <c r="R177" i="15"/>
  <c r="R174" i="15"/>
  <c r="R162" i="15"/>
  <c r="R157" i="15"/>
  <c r="R150" i="15"/>
  <c r="R141" i="15"/>
  <c r="R129" i="15"/>
  <c r="P121" i="15"/>
  <c r="R113" i="15"/>
  <c r="R105" i="15"/>
  <c r="R97" i="15"/>
  <c r="R89" i="15"/>
  <c r="R81" i="15"/>
  <c r="R215" i="15"/>
  <c r="R200" i="15"/>
  <c r="R193" i="15"/>
  <c r="R185" i="15"/>
  <c r="R181" i="15"/>
  <c r="R168" i="15"/>
  <c r="R165" i="15"/>
  <c r="R153" i="15"/>
  <c r="R144" i="15"/>
  <c r="R140" i="15"/>
  <c r="R128" i="15"/>
  <c r="R112" i="15"/>
  <c r="R104" i="15"/>
  <c r="R96" i="15"/>
  <c r="R88" i="15"/>
  <c r="R80" i="15"/>
  <c r="R221" i="15"/>
  <c r="R203" i="15"/>
  <c r="R199" i="15"/>
  <c r="R176" i="15"/>
  <c r="R171" i="15"/>
  <c r="R159" i="15"/>
  <c r="R156" i="15"/>
  <c r="R147" i="15"/>
  <c r="R139" i="15"/>
  <c r="R127" i="15"/>
  <c r="R119" i="15"/>
  <c r="R111" i="15"/>
  <c r="R103" i="15"/>
  <c r="R95" i="15"/>
  <c r="R87" i="15"/>
  <c r="R121" i="15"/>
  <c r="R98" i="15"/>
  <c r="R217" i="15"/>
  <c r="R130" i="15"/>
  <c r="R182" i="15"/>
  <c r="R106" i="15"/>
  <c r="R114" i="15"/>
  <c r="R82" i="15"/>
  <c r="R90" i="15"/>
  <c r="R178" i="15"/>
  <c r="R142" i="15"/>
  <c r="R135" i="15"/>
  <c r="R194" i="15"/>
  <c r="R186" i="15"/>
  <c r="R166" i="15"/>
  <c r="R154" i="15"/>
  <c r="P22" i="6"/>
  <c r="X16" i="6"/>
  <c r="P31" i="4"/>
  <c r="D31" i="7"/>
  <c r="J257" i="3"/>
  <c r="J241" i="3"/>
  <c r="J237" i="3"/>
  <c r="J227" i="3"/>
  <c r="J213" i="3"/>
  <c r="J205" i="3"/>
  <c r="J199" i="3"/>
  <c r="J193" i="3"/>
  <c r="J269" i="3"/>
  <c r="J260" i="3"/>
  <c r="J252" i="3"/>
  <c r="J248" i="3"/>
  <c r="J244" i="3"/>
  <c r="J236" i="3"/>
  <c r="J230" i="3"/>
  <c r="J210" i="3"/>
  <c r="J204" i="3"/>
  <c r="J255" i="3"/>
  <c r="J247" i="3"/>
  <c r="J264" i="3"/>
  <c r="J258" i="3"/>
  <c r="J250" i="3"/>
  <c r="J246" i="3"/>
  <c r="J240" i="3"/>
  <c r="J234" i="3"/>
  <c r="J226" i="3"/>
  <c r="J212" i="3"/>
  <c r="J198" i="3"/>
  <c r="J192" i="3"/>
  <c r="J186" i="3"/>
  <c r="J268" i="3"/>
  <c r="J256" i="3"/>
  <c r="J232" i="3"/>
  <c r="J228" i="3"/>
  <c r="J224" i="3"/>
  <c r="J220" i="3"/>
  <c r="J216" i="3"/>
  <c r="J206" i="3"/>
  <c r="J200" i="3"/>
  <c r="J194" i="3"/>
  <c r="J259" i="3"/>
  <c r="J249" i="3"/>
  <c r="J245" i="3"/>
  <c r="J239" i="3"/>
  <c r="J231" i="3"/>
  <c r="J223" i="3"/>
  <c r="J219" i="3"/>
  <c r="J215" i="3"/>
  <c r="J211" i="3"/>
  <c r="J197" i="3"/>
  <c r="J191" i="3"/>
  <c r="J185" i="3"/>
  <c r="J254" i="3"/>
  <c r="J242" i="3"/>
  <c r="J238" i="3"/>
  <c r="J222" i="3"/>
  <c r="J218" i="3"/>
  <c r="J214" i="3"/>
  <c r="J208" i="3"/>
  <c r="J202" i="3"/>
  <c r="J243" i="3"/>
  <c r="J229" i="3"/>
  <c r="J207" i="3"/>
  <c r="J195" i="3"/>
  <c r="J182" i="3"/>
  <c r="J176" i="3"/>
  <c r="J172" i="3"/>
  <c r="J160" i="3"/>
  <c r="H153" i="3"/>
  <c r="J144" i="3"/>
  <c r="J136" i="3"/>
  <c r="J128" i="3"/>
  <c r="J120" i="3"/>
  <c r="J112" i="3"/>
  <c r="J104" i="3"/>
  <c r="J164" i="3"/>
  <c r="J116" i="3"/>
  <c r="J179" i="3"/>
  <c r="J171" i="3"/>
  <c r="J159" i="3"/>
  <c r="J151" i="3"/>
  <c r="J143" i="3"/>
  <c r="J135" i="3"/>
  <c r="J127" i="3"/>
  <c r="J119" i="3"/>
  <c r="J111" i="3"/>
  <c r="J103" i="3"/>
  <c r="J124" i="3"/>
  <c r="J235" i="3"/>
  <c r="J196" i="3"/>
  <c r="J178" i="3"/>
  <c r="J170" i="3"/>
  <c r="J166" i="3"/>
  <c r="J158" i="3"/>
  <c r="J150" i="3"/>
  <c r="J142" i="3"/>
  <c r="J134" i="3"/>
  <c r="J126" i="3"/>
  <c r="J118" i="3"/>
  <c r="J110" i="3"/>
  <c r="J102" i="3"/>
  <c r="J253" i="3"/>
  <c r="J140" i="3"/>
  <c r="J188" i="3"/>
  <c r="J181" i="3"/>
  <c r="J175" i="3"/>
  <c r="J169" i="3"/>
  <c r="J165" i="3"/>
  <c r="J157" i="3"/>
  <c r="J155" i="3"/>
  <c r="J149" i="3"/>
  <c r="J141" i="3"/>
  <c r="J133" i="3"/>
  <c r="J125" i="3"/>
  <c r="J117" i="3"/>
  <c r="J109" i="3"/>
  <c r="J101" i="3"/>
  <c r="J233" i="3"/>
  <c r="J132" i="3"/>
  <c r="J221" i="3"/>
  <c r="J209" i="3"/>
  <c r="J190" i="3"/>
  <c r="J189" i="3"/>
  <c r="J187" i="3"/>
  <c r="J177" i="3"/>
  <c r="J163" i="3"/>
  <c r="J147" i="3"/>
  <c r="J139" i="3"/>
  <c r="J131" i="3"/>
  <c r="J123" i="3"/>
  <c r="J115" i="3"/>
  <c r="J107" i="3"/>
  <c r="J217" i="3"/>
  <c r="J201" i="3"/>
  <c r="J184" i="3"/>
  <c r="J183" i="3"/>
  <c r="J180" i="3"/>
  <c r="J174" i="3"/>
  <c r="J162" i="3"/>
  <c r="J156" i="3"/>
  <c r="J146" i="3"/>
  <c r="J138" i="3"/>
  <c r="J130" i="3"/>
  <c r="J122" i="3"/>
  <c r="J114" i="3"/>
  <c r="J106" i="3"/>
  <c r="J100" i="3"/>
  <c r="J168" i="3"/>
  <c r="J225" i="3"/>
  <c r="J203" i="3"/>
  <c r="J173" i="3"/>
  <c r="J167" i="3"/>
  <c r="J161" i="3"/>
  <c r="J153" i="3"/>
  <c r="J145" i="3"/>
  <c r="J137" i="3"/>
  <c r="J129" i="3"/>
  <c r="J121" i="3"/>
  <c r="J113" i="3"/>
  <c r="J105" i="3"/>
  <c r="J148" i="3"/>
  <c r="J108" i="3"/>
  <c r="F209" i="12"/>
  <c r="F202" i="12"/>
  <c r="F194" i="12"/>
  <c r="F190" i="12"/>
  <c r="F186" i="12"/>
  <c r="F182" i="12"/>
  <c r="F165" i="12"/>
  <c r="F162" i="12"/>
  <c r="F153" i="12"/>
  <c r="F146" i="12"/>
  <c r="F134" i="12"/>
  <c r="F129" i="12"/>
  <c r="F118" i="12"/>
  <c r="F110" i="12"/>
  <c r="F102" i="12"/>
  <c r="F94" i="12"/>
  <c r="F86" i="12"/>
  <c r="F222" i="12"/>
  <c r="F212" i="12"/>
  <c r="F193" i="12"/>
  <c r="F189" i="12"/>
  <c r="F185" i="12"/>
  <c r="F176" i="12"/>
  <c r="F173" i="12"/>
  <c r="F149" i="12"/>
  <c r="F145" i="12"/>
  <c r="F140" i="12"/>
  <c r="F133" i="12"/>
  <c r="F117" i="12"/>
  <c r="F109" i="12"/>
  <c r="F101" i="12"/>
  <c r="F93" i="12"/>
  <c r="F85" i="12"/>
  <c r="F225" i="12"/>
  <c r="F208" i="12"/>
  <c r="F184" i="12"/>
  <c r="F179" i="12"/>
  <c r="F167" i="12"/>
  <c r="F164" i="12"/>
  <c r="F155" i="12"/>
  <c r="F152" i="12"/>
  <c r="F144" i="12"/>
  <c r="F132" i="12"/>
  <c r="D126" i="12"/>
  <c r="F124" i="12"/>
  <c r="F116" i="12"/>
  <c r="F108" i="12"/>
  <c r="F100" i="12"/>
  <c r="F92" i="12"/>
  <c r="F84" i="12"/>
  <c r="F229" i="12"/>
  <c r="F218" i="12"/>
  <c r="F214" i="12"/>
  <c r="F211" i="12"/>
  <c r="F207" i="12"/>
  <c r="F198" i="12"/>
  <c r="F175" i="12"/>
  <c r="F170" i="12"/>
  <c r="F158" i="12"/>
  <c r="F151" i="12"/>
  <c r="F143" i="12"/>
  <c r="F139" i="12"/>
  <c r="F131" i="12"/>
  <c r="F123" i="12"/>
  <c r="F115" i="12"/>
  <c r="F107" i="12"/>
  <c r="F99" i="12"/>
  <c r="F91" i="12"/>
  <c r="F83" i="12"/>
  <c r="F217" i="12"/>
  <c r="F213" i="12"/>
  <c r="F205" i="12"/>
  <c r="F197" i="12"/>
  <c r="F192" i="12"/>
  <c r="F188" i="12"/>
  <c r="F177" i="12"/>
  <c r="F172" i="12"/>
  <c r="F169" i="12"/>
  <c r="F157" i="12"/>
  <c r="F148" i="12"/>
  <c r="F141" i="12"/>
  <c r="F137" i="12"/>
  <c r="F128" i="12"/>
  <c r="F121" i="12"/>
  <c r="F113" i="12"/>
  <c r="F105" i="12"/>
  <c r="F97" i="12"/>
  <c r="F89" i="12"/>
  <c r="F221" i="12"/>
  <c r="F216" i="12"/>
  <c r="F204" i="12"/>
  <c r="F200" i="12"/>
  <c r="F196" i="12"/>
  <c r="F183" i="12"/>
  <c r="F180" i="12"/>
  <c r="F168" i="12"/>
  <c r="F163" i="12"/>
  <c r="F160" i="12"/>
  <c r="F156" i="12"/>
  <c r="F136" i="12"/>
  <c r="F120" i="12"/>
  <c r="F112" i="12"/>
  <c r="F104" i="12"/>
  <c r="F224" i="12"/>
  <c r="F219" i="12"/>
  <c r="F215" i="12"/>
  <c r="F203" i="12"/>
  <c r="F199" i="12"/>
  <c r="F195" i="12"/>
  <c r="F191" i="12"/>
  <c r="F187" i="12"/>
  <c r="F174" i="12"/>
  <c r="F171" i="12"/>
  <c r="F159" i="12"/>
  <c r="F150" i="12"/>
  <c r="F147" i="12"/>
  <c r="F135" i="12"/>
  <c r="F119" i="12"/>
  <c r="F111" i="12"/>
  <c r="F103" i="12"/>
  <c r="F95" i="12"/>
  <c r="F87" i="12"/>
  <c r="F82" i="12"/>
  <c r="F223" i="12"/>
  <c r="F210" i="12"/>
  <c r="F166" i="12"/>
  <c r="F98" i="12"/>
  <c r="F114" i="12"/>
  <c r="F106" i="12"/>
  <c r="F96" i="12"/>
  <c r="F201" i="12"/>
  <c r="F138" i="12"/>
  <c r="F90" i="12"/>
  <c r="F154" i="12"/>
  <c r="F88" i="12"/>
  <c r="F161" i="12"/>
  <c r="L12" i="12"/>
  <c r="F181" i="12"/>
  <c r="F142" i="12"/>
  <c r="F130" i="12"/>
  <c r="F178" i="12"/>
  <c r="F206" i="12"/>
  <c r="F122" i="12"/>
  <c r="F64" i="21"/>
  <c r="F61" i="21"/>
  <c r="F56" i="21"/>
  <c r="F53" i="21"/>
  <c r="F40" i="21"/>
  <c r="F33" i="21"/>
  <c r="D27" i="21"/>
  <c r="F27" i="21" s="1"/>
  <c r="F25" i="21"/>
  <c r="F83" i="21"/>
  <c r="F80" i="21"/>
  <c r="F67" i="21"/>
  <c r="F52" i="21"/>
  <c r="F47" i="21"/>
  <c r="F44" i="21"/>
  <c r="F32" i="21"/>
  <c r="F24" i="21"/>
  <c r="F79" i="21"/>
  <c r="F74" i="21"/>
  <c r="F63" i="21"/>
  <c r="F58" i="21"/>
  <c r="F55" i="21"/>
  <c r="F43" i="21"/>
  <c r="F39" i="21"/>
  <c r="F31" i="21"/>
  <c r="F86" i="21"/>
  <c r="F77" i="21"/>
  <c r="F73" i="21"/>
  <c r="F65" i="21"/>
  <c r="F60" i="21"/>
  <c r="F57" i="21"/>
  <c r="F41" i="21"/>
  <c r="F37" i="21"/>
  <c r="F90" i="21"/>
  <c r="F84" i="21"/>
  <c r="F76" i="21"/>
  <c r="F72" i="21"/>
  <c r="F68" i="21"/>
  <c r="F51" i="21"/>
  <c r="F48" i="21"/>
  <c r="F36" i="21"/>
  <c r="F23" i="21"/>
  <c r="L12" i="21"/>
  <c r="F75" i="21"/>
  <c r="F71" i="21"/>
  <c r="F62" i="21"/>
  <c r="F59" i="21"/>
  <c r="F54" i="21"/>
  <c r="F35" i="21"/>
  <c r="F30" i="21"/>
  <c r="F81" i="21"/>
  <c r="F70" i="21"/>
  <c r="F50" i="21"/>
  <c r="F45" i="21"/>
  <c r="F34" i="21"/>
  <c r="F66" i="21"/>
  <c r="F82" i="21"/>
  <c r="F46" i="21"/>
  <c r="F42" i="21"/>
  <c r="F69" i="21"/>
  <c r="F29" i="21"/>
  <c r="F78" i="21"/>
  <c r="F49" i="21"/>
  <c r="F38" i="21"/>
  <c r="T27" i="14"/>
  <c r="Z18" i="14"/>
  <c r="P27" i="17"/>
  <c r="X18" i="17"/>
  <c r="D27" i="8"/>
  <c r="L18" i="8"/>
  <c r="D27" i="4"/>
  <c r="L18" i="4"/>
  <c r="P89" i="9"/>
  <c r="X16" i="9"/>
  <c r="Z18" i="5"/>
  <c r="T27" i="5"/>
  <c r="X27" i="5" s="1"/>
  <c r="F259" i="3"/>
  <c r="F249" i="3"/>
  <c r="F245" i="3"/>
  <c r="F242" i="3"/>
  <c r="F238" i="3"/>
  <c r="F222" i="3"/>
  <c r="F218" i="3"/>
  <c r="F214" i="3"/>
  <c r="F202" i="3"/>
  <c r="F197" i="3"/>
  <c r="F254" i="3"/>
  <c r="F241" i="3"/>
  <c r="F237" i="3"/>
  <c r="F213" i="3"/>
  <c r="F208" i="3"/>
  <c r="F205" i="3"/>
  <c r="F257" i="3"/>
  <c r="F248" i="3"/>
  <c r="F244" i="3"/>
  <c r="F269" i="3"/>
  <c r="F260" i="3"/>
  <c r="F252" i="3"/>
  <c r="F247" i="3"/>
  <c r="F235" i="3"/>
  <c r="F230" i="3"/>
  <c r="F210" i="3"/>
  <c r="F207" i="3"/>
  <c r="F195" i="3"/>
  <c r="F190" i="3"/>
  <c r="F187" i="3"/>
  <c r="F258" i="3"/>
  <c r="F240" i="3"/>
  <c r="F233" i="3"/>
  <c r="F229" i="3"/>
  <c r="F225" i="3"/>
  <c r="F212" i="3"/>
  <c r="F209" i="3"/>
  <c r="F192" i="3"/>
  <c r="F189" i="3"/>
  <c r="F253" i="3"/>
  <c r="F243" i="3"/>
  <c r="F232" i="3"/>
  <c r="F228" i="3"/>
  <c r="F224" i="3"/>
  <c r="F220" i="3"/>
  <c r="F216" i="3"/>
  <c r="F203" i="3"/>
  <c r="F200" i="3"/>
  <c r="F268" i="3"/>
  <c r="F256" i="3"/>
  <c r="F239" i="3"/>
  <c r="F231" i="3"/>
  <c r="F223" i="3"/>
  <c r="F219" i="3"/>
  <c r="F215" i="3"/>
  <c r="F211" i="3"/>
  <c r="F206" i="3"/>
  <c r="F246" i="3"/>
  <c r="F217" i="3"/>
  <c r="F201" i="3"/>
  <c r="F194" i="3"/>
  <c r="F180" i="3"/>
  <c r="F173" i="3"/>
  <c r="F161" i="3"/>
  <c r="F156" i="3"/>
  <c r="F145" i="3"/>
  <c r="F137" i="3"/>
  <c r="F129" i="3"/>
  <c r="F121" i="3"/>
  <c r="F113" i="3"/>
  <c r="F105" i="3"/>
  <c r="F100" i="3"/>
  <c r="F141" i="3"/>
  <c r="F255" i="3"/>
  <c r="F204" i="3"/>
  <c r="F176" i="3"/>
  <c r="F172" i="3"/>
  <c r="F167" i="3"/>
  <c r="F160" i="3"/>
  <c r="F144" i="3"/>
  <c r="F136" i="3"/>
  <c r="F128" i="3"/>
  <c r="F120" i="3"/>
  <c r="F112" i="3"/>
  <c r="F104" i="3"/>
  <c r="F250" i="3"/>
  <c r="F157" i="3"/>
  <c r="F149" i="3"/>
  <c r="F101" i="3"/>
  <c r="F226" i="3"/>
  <c r="F182" i="3"/>
  <c r="F179" i="3"/>
  <c r="F171" i="3"/>
  <c r="F159" i="3"/>
  <c r="D153" i="3"/>
  <c r="F151" i="3"/>
  <c r="F143" i="3"/>
  <c r="F135" i="3"/>
  <c r="F127" i="3"/>
  <c r="F119" i="3"/>
  <c r="F111" i="3"/>
  <c r="F103" i="3"/>
  <c r="F169" i="3"/>
  <c r="F165" i="3"/>
  <c r="F125" i="3"/>
  <c r="F117" i="3"/>
  <c r="F196" i="3"/>
  <c r="F178" i="3"/>
  <c r="F170" i="3"/>
  <c r="F166" i="3"/>
  <c r="F158" i="3"/>
  <c r="F150" i="3"/>
  <c r="F142" i="3"/>
  <c r="F134" i="3"/>
  <c r="F126" i="3"/>
  <c r="F118" i="3"/>
  <c r="F110" i="3"/>
  <c r="F102" i="3"/>
  <c r="F264" i="3"/>
  <c r="F227" i="3"/>
  <c r="F181" i="3"/>
  <c r="F109" i="3"/>
  <c r="F236" i="3"/>
  <c r="F188" i="3"/>
  <c r="F186" i="3"/>
  <c r="F175" i="3"/>
  <c r="F168" i="3"/>
  <c r="F164" i="3"/>
  <c r="F155" i="3"/>
  <c r="F148" i="3"/>
  <c r="F140" i="3"/>
  <c r="F132" i="3"/>
  <c r="F124" i="3"/>
  <c r="F116" i="3"/>
  <c r="F108" i="3"/>
  <c r="L12" i="3"/>
  <c r="N12" i="3" s="1"/>
  <c r="F198" i="3"/>
  <c r="F191" i="3"/>
  <c r="F163" i="3"/>
  <c r="F147" i="3"/>
  <c r="F139" i="3"/>
  <c r="F131" i="3"/>
  <c r="F123" i="3"/>
  <c r="F115" i="3"/>
  <c r="F107" i="3"/>
  <c r="F133" i="3"/>
  <c r="F234" i="3"/>
  <c r="F221" i="3"/>
  <c r="F199" i="3"/>
  <c r="F193" i="3"/>
  <c r="F185" i="3"/>
  <c r="F184" i="3"/>
  <c r="F183" i="3"/>
  <c r="F177" i="3"/>
  <c r="F174" i="3"/>
  <c r="F162" i="3"/>
  <c r="F146" i="3"/>
  <c r="F138" i="3"/>
  <c r="F130" i="3"/>
  <c r="F122" i="3"/>
  <c r="F114" i="3"/>
  <c r="F106" i="3"/>
  <c r="T24" i="96"/>
  <c r="Z16" i="96"/>
  <c r="P28" i="96"/>
  <c r="Z18" i="90"/>
  <c r="T47" i="90"/>
  <c r="H42" i="83"/>
  <c r="P27" i="53"/>
  <c r="X18" i="53"/>
  <c r="R60" i="48"/>
  <c r="T27" i="44"/>
  <c r="Z18" i="44"/>
  <c r="T27" i="99"/>
  <c r="Z18" i="99"/>
  <c r="X18" i="98"/>
  <c r="P27" i="98"/>
  <c r="L60" i="97"/>
  <c r="N60" i="97" s="1"/>
  <c r="J77" i="94"/>
  <c r="J71" i="94"/>
  <c r="J67" i="94"/>
  <c r="J63" i="94"/>
  <c r="J59" i="94"/>
  <c r="J70" i="94"/>
  <c r="J62" i="94"/>
  <c r="J56" i="94"/>
  <c r="J75" i="94"/>
  <c r="J61" i="94"/>
  <c r="J73" i="94"/>
  <c r="J65" i="94"/>
  <c r="J57" i="94"/>
  <c r="J86" i="94"/>
  <c r="J80" i="94"/>
  <c r="J72" i="94"/>
  <c r="J64" i="94"/>
  <c r="J60" i="94"/>
  <c r="J54" i="94"/>
  <c r="J82" i="94"/>
  <c r="J52" i="94"/>
  <c r="J48" i="94"/>
  <c r="J40" i="94"/>
  <c r="J30" i="94"/>
  <c r="J24" i="94"/>
  <c r="J58" i="94"/>
  <c r="J55" i="94"/>
  <c r="J45" i="94"/>
  <c r="J29" i="94"/>
  <c r="J21" i="94"/>
  <c r="J76" i="94"/>
  <c r="J51" i="94"/>
  <c r="J50" i="94"/>
  <c r="J42" i="94"/>
  <c r="J34" i="94"/>
  <c r="J28" i="94"/>
  <c r="H21" i="94"/>
  <c r="N12" i="94"/>
  <c r="J47" i="94"/>
  <c r="J39" i="94"/>
  <c r="J27" i="94"/>
  <c r="J19" i="94"/>
  <c r="J79" i="94"/>
  <c r="J69" i="94"/>
  <c r="J68" i="94"/>
  <c r="J66" i="94"/>
  <c r="J44" i="94"/>
  <c r="J38" i="94"/>
  <c r="J26" i="94"/>
  <c r="J18" i="94"/>
  <c r="J46" i="94"/>
  <c r="J36" i="94"/>
  <c r="J32" i="94"/>
  <c r="J31" i="94"/>
  <c r="J23" i="94"/>
  <c r="J74" i="94"/>
  <c r="J43" i="94"/>
  <c r="J37" i="94"/>
  <c r="J78" i="94"/>
  <c r="J35" i="94"/>
  <c r="J41" i="94"/>
  <c r="J25" i="94"/>
  <c r="J17" i="94"/>
  <c r="J33" i="94"/>
  <c r="J53" i="94"/>
  <c r="J49" i="94"/>
  <c r="J60" i="97"/>
  <c r="H63" i="97"/>
  <c r="V21" i="92"/>
  <c r="T79" i="92"/>
  <c r="H85" i="95"/>
  <c r="T48" i="91"/>
  <c r="Z16" i="91"/>
  <c r="L18" i="90"/>
  <c r="F18" i="90"/>
  <c r="D47" i="90"/>
  <c r="L16" i="88"/>
  <c r="D32" i="88"/>
  <c r="H47" i="90"/>
  <c r="N18" i="90"/>
  <c r="T81" i="95"/>
  <c r="Z21" i="95"/>
  <c r="D83" i="85"/>
  <c r="X17" i="74"/>
  <c r="Z17" i="74" s="1"/>
  <c r="P44" i="74"/>
  <c r="P81" i="79"/>
  <c r="D81" i="79"/>
  <c r="L20" i="79"/>
  <c r="V110" i="77"/>
  <c r="V104" i="77"/>
  <c r="V80" i="77"/>
  <c r="V72" i="77"/>
  <c r="V64" i="77"/>
  <c r="V52" i="77"/>
  <c r="V44" i="77"/>
  <c r="Z12" i="77"/>
  <c r="V103" i="77"/>
  <c r="V79" i="77"/>
  <c r="V71" i="77"/>
  <c r="V63" i="77"/>
  <c r="V51" i="77"/>
  <c r="V43" i="77"/>
  <c r="V98" i="77"/>
  <c r="V90" i="77"/>
  <c r="V86" i="77"/>
  <c r="V82" i="77"/>
  <c r="V74" i="77"/>
  <c r="V66" i="77"/>
  <c r="V62" i="77"/>
  <c r="V58" i="77"/>
  <c r="V50" i="77"/>
  <c r="V42" i="77"/>
  <c r="V97" i="77"/>
  <c r="V93" i="77"/>
  <c r="V89" i="77"/>
  <c r="V85" i="77"/>
  <c r="V81" i="77"/>
  <c r="V73" i="77"/>
  <c r="V65" i="77"/>
  <c r="V61" i="77"/>
  <c r="V57" i="77"/>
  <c r="V41" i="77"/>
  <c r="V106" i="77"/>
  <c r="V100" i="77"/>
  <c r="V96" i="77"/>
  <c r="V92" i="77"/>
  <c r="V88" i="77"/>
  <c r="V84" i="77"/>
  <c r="V76" i="77"/>
  <c r="V68" i="77"/>
  <c r="V60" i="77"/>
  <c r="V56" i="77"/>
  <c r="T47" i="77"/>
  <c r="V47" i="77" s="1"/>
  <c r="V40" i="77"/>
  <c r="V102" i="77"/>
  <c r="V94" i="77"/>
  <c r="V78" i="77"/>
  <c r="V70" i="77"/>
  <c r="V54" i="77"/>
  <c r="V38" i="77"/>
  <c r="V91" i="77"/>
  <c r="V87" i="77"/>
  <c r="V59" i="77"/>
  <c r="V55" i="77"/>
  <c r="V49" i="77"/>
  <c r="V101" i="77"/>
  <c r="V95" i="77"/>
  <c r="V83" i="77"/>
  <c r="V75" i="77"/>
  <c r="V67" i="77"/>
  <c r="V53" i="77"/>
  <c r="V45" i="77"/>
  <c r="V77" i="77"/>
  <c r="V69" i="77"/>
  <c r="V99" i="77"/>
  <c r="V39" i="77"/>
  <c r="H74" i="76"/>
  <c r="N20" i="76"/>
  <c r="F74" i="73"/>
  <c r="F67" i="73"/>
  <c r="F51" i="73"/>
  <c r="F48" i="73"/>
  <c r="F36" i="73"/>
  <c r="F32" i="73"/>
  <c r="F62" i="73"/>
  <c r="F59" i="73"/>
  <c r="F54" i="73"/>
  <c r="F47" i="73"/>
  <c r="F42" i="73"/>
  <c r="F39" i="73"/>
  <c r="F35" i="73"/>
  <c r="F31" i="73"/>
  <c r="F58" i="73"/>
  <c r="F50" i="73"/>
  <c r="F34" i="73"/>
  <c r="F30" i="73"/>
  <c r="F61" i="73"/>
  <c r="F57" i="73"/>
  <c r="F53" i="73"/>
  <c r="F44" i="73"/>
  <c r="F41" i="73"/>
  <c r="F29" i="73"/>
  <c r="F71" i="73"/>
  <c r="F65" i="73"/>
  <c r="F56" i="73"/>
  <c r="F52" i="73"/>
  <c r="F28" i="73"/>
  <c r="F69" i="73"/>
  <c r="F63" i="73"/>
  <c r="F55" i="73"/>
  <c r="F46" i="73"/>
  <c r="F43" i="73"/>
  <c r="F38" i="73"/>
  <c r="F27" i="73"/>
  <c r="F60" i="73"/>
  <c r="F45" i="73"/>
  <c r="F40" i="73"/>
  <c r="F37" i="73"/>
  <c r="D20" i="73"/>
  <c r="F18" i="73"/>
  <c r="F49" i="73"/>
  <c r="F17" i="73"/>
  <c r="F24" i="73"/>
  <c r="F25" i="73"/>
  <c r="F22" i="73"/>
  <c r="F26" i="73"/>
  <c r="F16" i="73"/>
  <c r="F33" i="73"/>
  <c r="F23" i="73"/>
  <c r="F20" i="73"/>
  <c r="L12" i="73"/>
  <c r="P44" i="65"/>
  <c r="X17" i="65"/>
  <c r="R42" i="67"/>
  <c r="R39" i="67"/>
  <c r="R34" i="67"/>
  <c r="R30" i="67"/>
  <c r="R21" i="67"/>
  <c r="R54" i="67"/>
  <c r="R48" i="67"/>
  <c r="R29" i="67"/>
  <c r="P21" i="67"/>
  <c r="R27" i="67"/>
  <c r="R19" i="67"/>
  <c r="R52" i="67"/>
  <c r="R46" i="67"/>
  <c r="R43" i="67"/>
  <c r="R38" i="67"/>
  <c r="R35" i="67"/>
  <c r="R26" i="67"/>
  <c r="R23" i="67"/>
  <c r="R57" i="67"/>
  <c r="R50" i="67"/>
  <c r="R25" i="67"/>
  <c r="R18" i="67"/>
  <c r="R45" i="67"/>
  <c r="R40" i="67"/>
  <c r="R37" i="67"/>
  <c r="R32" i="67"/>
  <c r="R24" i="67"/>
  <c r="R44" i="67"/>
  <c r="R31" i="67"/>
  <c r="R28" i="67"/>
  <c r="R36" i="67"/>
  <c r="X12" i="67"/>
  <c r="R41" i="67"/>
  <c r="R33" i="67"/>
  <c r="V138" i="69"/>
  <c r="V132" i="69"/>
  <c r="V139" i="69"/>
  <c r="V133" i="69"/>
  <c r="V129" i="69"/>
  <c r="V125" i="69"/>
  <c r="V121" i="69"/>
  <c r="V136" i="69"/>
  <c r="V128" i="69"/>
  <c r="V124" i="69"/>
  <c r="V117" i="69"/>
  <c r="V113" i="69"/>
  <c r="V105" i="69"/>
  <c r="V101" i="69"/>
  <c r="V97" i="69"/>
  <c r="V93" i="69"/>
  <c r="V83" i="69"/>
  <c r="V77" i="69"/>
  <c r="V69" i="69"/>
  <c r="V61" i="69"/>
  <c r="V120" i="69"/>
  <c r="V116" i="69"/>
  <c r="V104" i="69"/>
  <c r="V96" i="69"/>
  <c r="V92" i="69"/>
  <c r="T83" i="69"/>
  <c r="V76" i="69"/>
  <c r="V68" i="69"/>
  <c r="V60" i="69"/>
  <c r="Z12" i="69"/>
  <c r="V144" i="69"/>
  <c r="V135" i="69"/>
  <c r="V131" i="69"/>
  <c r="V130" i="69"/>
  <c r="V119" i="69"/>
  <c r="V107" i="69"/>
  <c r="V103" i="69"/>
  <c r="V95" i="69"/>
  <c r="V91" i="69"/>
  <c r="V75" i="69"/>
  <c r="V67" i="69"/>
  <c r="V59" i="69"/>
  <c r="V118" i="69"/>
  <c r="V106" i="69"/>
  <c r="V90" i="69"/>
  <c r="V74" i="69"/>
  <c r="V66" i="69"/>
  <c r="V58" i="69"/>
  <c r="V140" i="69"/>
  <c r="V134" i="69"/>
  <c r="V127" i="69"/>
  <c r="V109" i="69"/>
  <c r="V89" i="69"/>
  <c r="V85" i="69"/>
  <c r="V81" i="69"/>
  <c r="V73" i="69"/>
  <c r="V65" i="69"/>
  <c r="V57" i="69"/>
  <c r="V112" i="69"/>
  <c r="V108" i="69"/>
  <c r="V100" i="69"/>
  <c r="V88" i="69"/>
  <c r="V80" i="69"/>
  <c r="V72" i="69"/>
  <c r="V64" i="69"/>
  <c r="V56" i="69"/>
  <c r="V123" i="69"/>
  <c r="V115" i="69"/>
  <c r="V111" i="69"/>
  <c r="V99" i="69"/>
  <c r="V87" i="69"/>
  <c r="V79" i="69"/>
  <c r="V71" i="69"/>
  <c r="V63" i="69"/>
  <c r="V102" i="69"/>
  <c r="V70" i="69"/>
  <c r="V122" i="69"/>
  <c r="V62" i="69"/>
  <c r="V114" i="69"/>
  <c r="V98" i="69"/>
  <c r="V78" i="69"/>
  <c r="V126" i="69"/>
  <c r="V110" i="69"/>
  <c r="V94" i="69"/>
  <c r="V86" i="69"/>
  <c r="J108" i="66"/>
  <c r="J98" i="66"/>
  <c r="J94" i="66"/>
  <c r="J117" i="66"/>
  <c r="J111" i="66"/>
  <c r="J101" i="66"/>
  <c r="J107" i="66"/>
  <c r="J97" i="66"/>
  <c r="J112" i="66"/>
  <c r="J100" i="66"/>
  <c r="J96" i="66"/>
  <c r="J105" i="66"/>
  <c r="J93" i="66"/>
  <c r="J87" i="66"/>
  <c r="J81" i="66"/>
  <c r="J73" i="66"/>
  <c r="J69" i="66"/>
  <c r="J61" i="66"/>
  <c r="J59" i="66"/>
  <c r="J53" i="66"/>
  <c r="J45" i="66"/>
  <c r="J90" i="66"/>
  <c r="J84" i="66"/>
  <c r="J78" i="66"/>
  <c r="J72" i="66"/>
  <c r="J68" i="66"/>
  <c r="J52" i="66"/>
  <c r="J44" i="66"/>
  <c r="J38" i="66"/>
  <c r="J106" i="66"/>
  <c r="J99" i="66"/>
  <c r="J71" i="66"/>
  <c r="J67" i="66"/>
  <c r="J51" i="66"/>
  <c r="J43" i="66"/>
  <c r="J92" i="66"/>
  <c r="J86" i="66"/>
  <c r="J80" i="66"/>
  <c r="J66" i="66"/>
  <c r="J60" i="66"/>
  <c r="J50" i="66"/>
  <c r="J42" i="66"/>
  <c r="J113" i="66"/>
  <c r="J89" i="66"/>
  <c r="J83" i="66"/>
  <c r="J77" i="66"/>
  <c r="J65" i="66"/>
  <c r="J57" i="66"/>
  <c r="J49" i="66"/>
  <c r="J41" i="66"/>
  <c r="J110" i="66"/>
  <c r="J102" i="66"/>
  <c r="J88" i="66"/>
  <c r="J76" i="66"/>
  <c r="J70" i="66"/>
  <c r="J64" i="66"/>
  <c r="H57" i="66"/>
  <c r="J48" i="66"/>
  <c r="J40" i="66"/>
  <c r="J104" i="66"/>
  <c r="J103" i="66"/>
  <c r="J91" i="66"/>
  <c r="J85" i="66"/>
  <c r="J79" i="66"/>
  <c r="J75" i="66"/>
  <c r="J63" i="66"/>
  <c r="J55" i="66"/>
  <c r="J47" i="66"/>
  <c r="J39" i="66"/>
  <c r="J95" i="66"/>
  <c r="J74" i="66"/>
  <c r="J62" i="66"/>
  <c r="J46" i="66"/>
  <c r="J82" i="66"/>
  <c r="J54" i="66"/>
  <c r="R93" i="71"/>
  <c r="R75" i="71"/>
  <c r="R70" i="71"/>
  <c r="R66" i="71"/>
  <c r="R62" i="71"/>
  <c r="R54" i="71"/>
  <c r="R46" i="71"/>
  <c r="R38" i="71"/>
  <c r="R85" i="71"/>
  <c r="R81" i="71"/>
  <c r="R78" i="71"/>
  <c r="R65" i="71"/>
  <c r="R61" i="71"/>
  <c r="R45" i="71"/>
  <c r="R37" i="71"/>
  <c r="R91" i="71"/>
  <c r="R84" i="71"/>
  <c r="R72" i="71"/>
  <c r="R69" i="71"/>
  <c r="R64" i="71"/>
  <c r="R60" i="71"/>
  <c r="R53" i="71"/>
  <c r="R44" i="71"/>
  <c r="R36" i="71"/>
  <c r="X12" i="71"/>
  <c r="Z12" i="71" s="1"/>
  <c r="R94" i="71"/>
  <c r="R87" i="71"/>
  <c r="R83" i="71"/>
  <c r="R80" i="71"/>
  <c r="R59" i="71"/>
  <c r="R50" i="71"/>
  <c r="R43" i="71"/>
  <c r="R74" i="71"/>
  <c r="R71" i="71"/>
  <c r="R63" i="71"/>
  <c r="R58" i="71"/>
  <c r="P50" i="71"/>
  <c r="R42" i="71"/>
  <c r="R35" i="71"/>
  <c r="R92" i="71"/>
  <c r="R89" i="71"/>
  <c r="R86" i="71"/>
  <c r="R82" i="71"/>
  <c r="R77" i="71"/>
  <c r="R57" i="71"/>
  <c r="R41" i="71"/>
  <c r="R88" i="71"/>
  <c r="R98" i="71"/>
  <c r="R73" i="71"/>
  <c r="R67" i="71"/>
  <c r="R55" i="71"/>
  <c r="R47" i="71"/>
  <c r="R52" i="71"/>
  <c r="R48" i="71"/>
  <c r="R68" i="71"/>
  <c r="R56" i="71"/>
  <c r="R79" i="71"/>
  <c r="R39" i="71"/>
  <c r="R76" i="71"/>
  <c r="R40" i="71"/>
  <c r="F75" i="64"/>
  <c r="F67" i="64"/>
  <c r="F55" i="64"/>
  <c r="F52" i="64"/>
  <c r="F48" i="64"/>
  <c r="F44" i="64"/>
  <c r="F36" i="64"/>
  <c r="F28" i="64"/>
  <c r="L12" i="64"/>
  <c r="F70" i="64"/>
  <c r="F63" i="64"/>
  <c r="F58" i="64"/>
  <c r="F47" i="64"/>
  <c r="F43" i="64"/>
  <c r="F35" i="64"/>
  <c r="F77" i="64"/>
  <c r="F74" i="64"/>
  <c r="F66" i="64"/>
  <c r="F54" i="64"/>
  <c r="F41" i="64"/>
  <c r="F34" i="64"/>
  <c r="F73" i="64"/>
  <c r="F69" i="64"/>
  <c r="F65" i="64"/>
  <c r="F60" i="64"/>
  <c r="F57" i="64"/>
  <c r="F33" i="64"/>
  <c r="F76" i="64"/>
  <c r="F72" i="64"/>
  <c r="F68" i="64"/>
  <c r="F56" i="64"/>
  <c r="F51" i="64"/>
  <c r="F32" i="64"/>
  <c r="F27" i="64"/>
  <c r="F84" i="64"/>
  <c r="F78" i="64"/>
  <c r="F53" i="64"/>
  <c r="F50" i="64"/>
  <c r="F39" i="64"/>
  <c r="F30" i="64"/>
  <c r="F46" i="64"/>
  <c r="F37" i="64"/>
  <c r="F80" i="64"/>
  <c r="F59" i="64"/>
  <c r="F42" i="64"/>
  <c r="F31" i="64"/>
  <c r="F61" i="64"/>
  <c r="D39" i="64"/>
  <c r="F29" i="64"/>
  <c r="F64" i="64"/>
  <c r="F62" i="64"/>
  <c r="F49" i="64"/>
  <c r="F71" i="64"/>
  <c r="F45" i="64"/>
  <c r="T45" i="61"/>
  <c r="Z16" i="61"/>
  <c r="J77" i="64"/>
  <c r="J63" i="64"/>
  <c r="J47" i="64"/>
  <c r="J43" i="64"/>
  <c r="J41" i="64"/>
  <c r="J35" i="64"/>
  <c r="J74" i="64"/>
  <c r="J66" i="64"/>
  <c r="J60" i="64"/>
  <c r="J54" i="64"/>
  <c r="J34" i="64"/>
  <c r="J73" i="64"/>
  <c r="J69" i="64"/>
  <c r="J65" i="64"/>
  <c r="J57" i="64"/>
  <c r="J51" i="64"/>
  <c r="J33" i="64"/>
  <c r="J27" i="64"/>
  <c r="J86" i="64"/>
  <c r="J80" i="64"/>
  <c r="J76" i="64"/>
  <c r="J72" i="64"/>
  <c r="J68" i="64"/>
  <c r="J62" i="64"/>
  <c r="J56" i="64"/>
  <c r="J46" i="64"/>
  <c r="J42" i="64"/>
  <c r="J32" i="64"/>
  <c r="J71" i="64"/>
  <c r="J59" i="64"/>
  <c r="J53" i="64"/>
  <c r="J39" i="64"/>
  <c r="J31" i="64"/>
  <c r="J75" i="64"/>
  <c r="J67" i="64"/>
  <c r="J61" i="64"/>
  <c r="J55" i="64"/>
  <c r="J49" i="64"/>
  <c r="J45" i="64"/>
  <c r="J37" i="64"/>
  <c r="J29" i="64"/>
  <c r="J50" i="64"/>
  <c r="J30" i="64"/>
  <c r="J82" i="64"/>
  <c r="J48" i="64"/>
  <c r="J28" i="64"/>
  <c r="J64" i="64"/>
  <c r="J52" i="64"/>
  <c r="H39" i="64"/>
  <c r="J70" i="64"/>
  <c r="J44" i="64"/>
  <c r="N12" i="64"/>
  <c r="J84" i="64"/>
  <c r="J36" i="64"/>
  <c r="J89" i="64"/>
  <c r="J78" i="64"/>
  <c r="J58" i="64"/>
  <c r="T115" i="66"/>
  <c r="R112" i="66"/>
  <c r="R97" i="66"/>
  <c r="R93" i="66"/>
  <c r="R100" i="66"/>
  <c r="R96" i="66"/>
  <c r="R113" i="66"/>
  <c r="R106" i="66"/>
  <c r="R102" i="66"/>
  <c r="R105" i="66"/>
  <c r="R98" i="66"/>
  <c r="R99" i="66"/>
  <c r="R86" i="66"/>
  <c r="R83" i="66"/>
  <c r="R66" i="66"/>
  <c r="R50" i="66"/>
  <c r="R42" i="66"/>
  <c r="R108" i="66"/>
  <c r="R89" i="66"/>
  <c r="R77" i="66"/>
  <c r="R70" i="66"/>
  <c r="R65" i="66"/>
  <c r="P57" i="66"/>
  <c r="R57" i="66" s="1"/>
  <c r="R49" i="66"/>
  <c r="R41" i="66"/>
  <c r="R101" i="66"/>
  <c r="R88" i="66"/>
  <c r="R85" i="66"/>
  <c r="R76" i="66"/>
  <c r="R64" i="66"/>
  <c r="R48" i="66"/>
  <c r="R40" i="66"/>
  <c r="R111" i="66"/>
  <c r="R110" i="66"/>
  <c r="R91" i="66"/>
  <c r="R79" i="66"/>
  <c r="R75" i="66"/>
  <c r="R63" i="66"/>
  <c r="R55" i="66"/>
  <c r="R47" i="66"/>
  <c r="R39" i="66"/>
  <c r="R104" i="66"/>
  <c r="R103" i="66"/>
  <c r="R95" i="66"/>
  <c r="R94" i="66"/>
  <c r="R87" i="66"/>
  <c r="R82" i="66"/>
  <c r="R74" i="66"/>
  <c r="R62" i="66"/>
  <c r="R59" i="66"/>
  <c r="R54" i="66"/>
  <c r="R46" i="66"/>
  <c r="R117" i="66"/>
  <c r="R90" i="66"/>
  <c r="R81" i="66"/>
  <c r="R78" i="66"/>
  <c r="R73" i="66"/>
  <c r="R69" i="66"/>
  <c r="R61" i="66"/>
  <c r="R53" i="66"/>
  <c r="R45" i="66"/>
  <c r="R38" i="66"/>
  <c r="R84" i="66"/>
  <c r="R72" i="66"/>
  <c r="R68" i="66"/>
  <c r="R52" i="66"/>
  <c r="R44" i="66"/>
  <c r="X12" i="66"/>
  <c r="Z12" i="66" s="1"/>
  <c r="R67" i="66"/>
  <c r="R60" i="66"/>
  <c r="R71" i="66"/>
  <c r="R51" i="66"/>
  <c r="R107" i="66"/>
  <c r="R92" i="66"/>
  <c r="R80" i="66"/>
  <c r="R43" i="66"/>
  <c r="X16" i="60"/>
  <c r="P46" i="60"/>
  <c r="D56" i="59"/>
  <c r="L16" i="59"/>
  <c r="P69" i="56"/>
  <c r="T65" i="56"/>
  <c r="Z16" i="56"/>
  <c r="L18" i="52"/>
  <c r="D27" i="52"/>
  <c r="L18" i="50"/>
  <c r="D27" i="50"/>
  <c r="D45" i="61"/>
  <c r="L16" i="61"/>
  <c r="T30" i="55"/>
  <c r="Z16" i="55"/>
  <c r="Z18" i="52"/>
  <c r="T27" i="52"/>
  <c r="H27" i="47"/>
  <c r="L27" i="47" s="1"/>
  <c r="N18" i="47"/>
  <c r="Z97" i="42"/>
  <c r="X97" i="42"/>
  <c r="D63" i="48"/>
  <c r="L17" i="48"/>
  <c r="H27" i="41"/>
  <c r="N18" i="41"/>
  <c r="F97" i="42"/>
  <c r="F92" i="42"/>
  <c r="F87" i="42"/>
  <c r="F80" i="42"/>
  <c r="F76" i="42"/>
  <c r="F72" i="42"/>
  <c r="F48" i="42"/>
  <c r="F43" i="42"/>
  <c r="F40" i="42"/>
  <c r="F35" i="42"/>
  <c r="F28" i="42"/>
  <c r="F20" i="42"/>
  <c r="L12" i="42"/>
  <c r="F100" i="42"/>
  <c r="F95" i="42"/>
  <c r="F79" i="42"/>
  <c r="F71" i="42"/>
  <c r="F62" i="42"/>
  <c r="F59" i="42"/>
  <c r="F54" i="42"/>
  <c r="F51" i="42"/>
  <c r="F39" i="42"/>
  <c r="F27" i="42"/>
  <c r="F104" i="42"/>
  <c r="F89" i="42"/>
  <c r="F86" i="42"/>
  <c r="F78" i="42"/>
  <c r="F45" i="42"/>
  <c r="F42" i="42"/>
  <c r="F38" i="42"/>
  <c r="F34" i="42"/>
  <c r="F25" i="42"/>
  <c r="F98" i="42"/>
  <c r="F85" i="42"/>
  <c r="F68" i="42"/>
  <c r="F64" i="42"/>
  <c r="F61" i="42"/>
  <c r="F56" i="42"/>
  <c r="F53" i="42"/>
  <c r="F37" i="42"/>
  <c r="F33" i="42"/>
  <c r="F91" i="42"/>
  <c r="F88" i="42"/>
  <c r="F84" i="42"/>
  <c r="F75" i="42"/>
  <c r="F47" i="42"/>
  <c r="F44" i="42"/>
  <c r="F36" i="42"/>
  <c r="F32" i="42"/>
  <c r="F19" i="42"/>
  <c r="F99" i="42"/>
  <c r="F90" i="42"/>
  <c r="F82" i="42"/>
  <c r="F77" i="42"/>
  <c r="F74" i="42"/>
  <c r="F66" i="42"/>
  <c r="F46" i="42"/>
  <c r="F41" i="42"/>
  <c r="F30" i="42"/>
  <c r="F60" i="42"/>
  <c r="F49" i="42"/>
  <c r="F26" i="42"/>
  <c r="F67" i="42"/>
  <c r="F83" i="42"/>
  <c r="F63" i="42"/>
  <c r="F57" i="42"/>
  <c r="F50" i="42"/>
  <c r="D23" i="42"/>
  <c r="F58" i="42"/>
  <c r="F31" i="42"/>
  <c r="F93" i="42"/>
  <c r="F81" i="42"/>
  <c r="F70" i="42"/>
  <c r="F21" i="42"/>
  <c r="F94" i="42"/>
  <c r="F55" i="42"/>
  <c r="F73" i="42"/>
  <c r="F65" i="42"/>
  <c r="F52" i="42"/>
  <c r="F29" i="42"/>
  <c r="F69" i="42"/>
  <c r="T27" i="37"/>
  <c r="Z18" i="37"/>
  <c r="X18" i="37"/>
  <c r="H27" i="32"/>
  <c r="N18" i="32"/>
  <c r="Z105" i="36"/>
  <c r="T27" i="26"/>
  <c r="Z18" i="26"/>
  <c r="N27" i="35"/>
  <c r="H31" i="35"/>
  <c r="L31" i="35" s="1"/>
  <c r="H27" i="19"/>
  <c r="N18" i="19"/>
  <c r="H36" i="33"/>
  <c r="N36" i="33" s="1"/>
  <c r="L18" i="30"/>
  <c r="N27" i="26"/>
  <c r="H31" i="26"/>
  <c r="L12" i="36"/>
  <c r="N12" i="36" s="1"/>
  <c r="Z27" i="24"/>
  <c r="T31" i="24"/>
  <c r="H27" i="16"/>
  <c r="N18" i="16"/>
  <c r="H27" i="13"/>
  <c r="N18" i="13"/>
  <c r="T27" i="17"/>
  <c r="Z18" i="17"/>
  <c r="L18" i="14"/>
  <c r="D27" i="14"/>
  <c r="P31" i="22"/>
  <c r="P244" i="18"/>
  <c r="X144" i="18"/>
  <c r="L18" i="5"/>
  <c r="D27" i="5"/>
  <c r="N252" i="3"/>
  <c r="X18" i="8"/>
  <c r="T27" i="10"/>
  <c r="Z18" i="10"/>
  <c r="R252" i="3"/>
  <c r="V65" i="97"/>
  <c r="V60" i="97"/>
  <c r="V54" i="97"/>
  <c r="V50" i="97"/>
  <c r="V46" i="97"/>
  <c r="V38" i="97"/>
  <c r="V34" i="97"/>
  <c r="V53" i="97"/>
  <c r="V49" i="97"/>
  <c r="V37" i="97"/>
  <c r="V33" i="97"/>
  <c r="V61" i="97"/>
  <c r="V55" i="97"/>
  <c r="V43" i="97"/>
  <c r="V39" i="97"/>
  <c r="V31" i="97"/>
  <c r="V40" i="97"/>
  <c r="V36" i="97"/>
  <c r="V35" i="97"/>
  <c r="V29" i="97"/>
  <c r="V21" i="97"/>
  <c r="V28" i="97"/>
  <c r="V20" i="97"/>
  <c r="Z12" i="97"/>
  <c r="V52" i="97"/>
  <c r="V48" i="97"/>
  <c r="V27" i="97"/>
  <c r="V17" i="97"/>
  <c r="V30" i="97"/>
  <c r="V26" i="97"/>
  <c r="T17" i="97"/>
  <c r="V25" i="97"/>
  <c r="V57" i="97"/>
  <c r="V41" i="97"/>
  <c r="V32" i="97"/>
  <c r="V24" i="97"/>
  <c r="V22" i="97"/>
  <c r="V19" i="97"/>
  <c r="V15" i="97"/>
  <c r="V56" i="97"/>
  <c r="V45" i="97"/>
  <c r="V42" i="97"/>
  <c r="V23" i="97"/>
  <c r="V44" i="97"/>
  <c r="V58" i="97"/>
  <c r="V47" i="97"/>
  <c r="V51" i="97"/>
  <c r="D30" i="89"/>
  <c r="L16" i="89"/>
  <c r="R28" i="78"/>
  <c r="R22" i="78"/>
  <c r="R17" i="78"/>
  <c r="R24" i="78"/>
  <c r="R16" i="78"/>
  <c r="R32" i="78"/>
  <c r="R26" i="78"/>
  <c r="R23" i="78"/>
  <c r="R20" i="78"/>
  <c r="P20" i="78"/>
  <c r="X12" i="78"/>
  <c r="R25" i="78"/>
  <c r="R18" i="78"/>
  <c r="H27" i="44"/>
  <c r="N18" i="44"/>
  <c r="H27" i="99"/>
  <c r="L27" i="99" s="1"/>
  <c r="N18" i="99"/>
  <c r="D28" i="96"/>
  <c r="L24" i="96"/>
  <c r="L20" i="96"/>
  <c r="N20" i="96" s="1"/>
  <c r="P81" i="95"/>
  <c r="X21" i="95"/>
  <c r="P30" i="93"/>
  <c r="J81" i="92"/>
  <c r="J75" i="92"/>
  <c r="J71" i="92"/>
  <c r="J65" i="92"/>
  <c r="J61" i="92"/>
  <c r="J55" i="92"/>
  <c r="J70" i="92"/>
  <c r="J52" i="92"/>
  <c r="J69" i="92"/>
  <c r="J57" i="92"/>
  <c r="J74" i="92"/>
  <c r="J68" i="92"/>
  <c r="J64" i="92"/>
  <c r="J60" i="92"/>
  <c r="J54" i="92"/>
  <c r="J67" i="92"/>
  <c r="J63" i="92"/>
  <c r="J59" i="92"/>
  <c r="J77" i="92"/>
  <c r="J73" i="92"/>
  <c r="J66" i="92"/>
  <c r="J58" i="92"/>
  <c r="J51" i="92"/>
  <c r="J47" i="92"/>
  <c r="J50" i="92"/>
  <c r="J44" i="92"/>
  <c r="J38" i="92"/>
  <c r="J26" i="92"/>
  <c r="J18" i="92"/>
  <c r="J53" i="92"/>
  <c r="J41" i="92"/>
  <c r="J37" i="92"/>
  <c r="J33" i="92"/>
  <c r="J25" i="92"/>
  <c r="J23" i="92"/>
  <c r="J49" i="92"/>
  <c r="J46" i="92"/>
  <c r="J36" i="92"/>
  <c r="J32" i="92"/>
  <c r="J43" i="92"/>
  <c r="J35" i="92"/>
  <c r="J31" i="92"/>
  <c r="J17" i="92"/>
  <c r="J48" i="92"/>
  <c r="J40" i="92"/>
  <c r="J30" i="92"/>
  <c r="J24" i="92"/>
  <c r="J34" i="92"/>
  <c r="H21" i="92"/>
  <c r="J21" i="92" s="1"/>
  <c r="J62" i="92"/>
  <c r="J39" i="92"/>
  <c r="J28" i="92"/>
  <c r="J72" i="92"/>
  <c r="J56" i="92"/>
  <c r="J19" i="92"/>
  <c r="J45" i="92"/>
  <c r="J29" i="92"/>
  <c r="J42" i="92"/>
  <c r="J27" i="92"/>
  <c r="H66" i="86"/>
  <c r="N17" i="86"/>
  <c r="L80" i="85"/>
  <c r="J85" i="85"/>
  <c r="J77" i="85"/>
  <c r="J71" i="85"/>
  <c r="J63" i="85"/>
  <c r="J55" i="85"/>
  <c r="J47" i="85"/>
  <c r="J41" i="85"/>
  <c r="J35" i="85"/>
  <c r="J31" i="85"/>
  <c r="J74" i="85"/>
  <c r="J70" i="85"/>
  <c r="J90" i="85"/>
  <c r="J83" i="85"/>
  <c r="J69" i="85"/>
  <c r="J65" i="85"/>
  <c r="J61" i="85"/>
  <c r="J57" i="85"/>
  <c r="J49" i="85"/>
  <c r="J43" i="85"/>
  <c r="J33" i="85"/>
  <c r="J29" i="85"/>
  <c r="J23" i="85"/>
  <c r="J73" i="85"/>
  <c r="J67" i="85"/>
  <c r="J51" i="85"/>
  <c r="J37" i="85"/>
  <c r="J27" i="85"/>
  <c r="H20" i="85"/>
  <c r="J78" i="85"/>
  <c r="J64" i="85"/>
  <c r="J56" i="85"/>
  <c r="J48" i="85"/>
  <c r="J42" i="85"/>
  <c r="J32" i="85"/>
  <c r="J26" i="85"/>
  <c r="J18" i="85"/>
  <c r="J68" i="85"/>
  <c r="J60" i="85"/>
  <c r="J46" i="85"/>
  <c r="J45" i="85"/>
  <c r="J25" i="85"/>
  <c r="J72" i="85"/>
  <c r="J36" i="85"/>
  <c r="J30" i="85"/>
  <c r="J80" i="85"/>
  <c r="J81" i="85"/>
  <c r="J75" i="85"/>
  <c r="J62" i="85"/>
  <c r="J38" i="85"/>
  <c r="J54" i="85"/>
  <c r="J53" i="85"/>
  <c r="J40" i="85"/>
  <c r="J17" i="85"/>
  <c r="J16" i="85"/>
  <c r="N12" i="85"/>
  <c r="J87" i="85"/>
  <c r="J59" i="85"/>
  <c r="J28" i="85"/>
  <c r="J50" i="85"/>
  <c r="J39" i="85"/>
  <c r="J66" i="85"/>
  <c r="J22" i="85"/>
  <c r="J44" i="85"/>
  <c r="J24" i="85"/>
  <c r="J76" i="85"/>
  <c r="J34" i="85"/>
  <c r="J20" i="85"/>
  <c r="J52" i="85"/>
  <c r="J58" i="85"/>
  <c r="L17" i="84"/>
  <c r="H37" i="82"/>
  <c r="N17" i="74"/>
  <c r="H44" i="74"/>
  <c r="F20" i="76"/>
  <c r="F91" i="71"/>
  <c r="F74" i="71"/>
  <c r="F69" i="71"/>
  <c r="F58" i="71"/>
  <c r="F53" i="71"/>
  <c r="F42" i="71"/>
  <c r="F94" i="71"/>
  <c r="F89" i="71"/>
  <c r="F80" i="71"/>
  <c r="F77" i="71"/>
  <c r="F57" i="71"/>
  <c r="F41" i="71"/>
  <c r="F98" i="71"/>
  <c r="F76" i="71"/>
  <c r="F71" i="71"/>
  <c r="F68" i="71"/>
  <c r="F63" i="71"/>
  <c r="F56" i="71"/>
  <c r="D50" i="71"/>
  <c r="F48" i="71"/>
  <c r="F40" i="71"/>
  <c r="F35" i="71"/>
  <c r="F92" i="71"/>
  <c r="F86" i="71"/>
  <c r="F82" i="71"/>
  <c r="F79" i="71"/>
  <c r="F67" i="71"/>
  <c r="F55" i="71"/>
  <c r="F47" i="71"/>
  <c r="F39" i="71"/>
  <c r="F73" i="71"/>
  <c r="F70" i="71"/>
  <c r="F66" i="71"/>
  <c r="F62" i="71"/>
  <c r="F54" i="71"/>
  <c r="F46" i="71"/>
  <c r="F38" i="71"/>
  <c r="F88" i="71"/>
  <c r="F85" i="71"/>
  <c r="F81" i="71"/>
  <c r="F65" i="71"/>
  <c r="F61" i="71"/>
  <c r="F52" i="71"/>
  <c r="F45" i="71"/>
  <c r="F37" i="71"/>
  <c r="F59" i="71"/>
  <c r="F60" i="71"/>
  <c r="F87" i="71"/>
  <c r="F83" i="71"/>
  <c r="F43" i="71"/>
  <c r="F84" i="71"/>
  <c r="F72" i="71"/>
  <c r="F64" i="71"/>
  <c r="F44" i="71"/>
  <c r="L12" i="71"/>
  <c r="N12" i="71" s="1"/>
  <c r="F93" i="71"/>
  <c r="F78" i="71"/>
  <c r="F36" i="71"/>
  <c r="F75" i="71"/>
  <c r="H67" i="73"/>
  <c r="T96" i="71"/>
  <c r="L138" i="69"/>
  <c r="N138" i="69" s="1"/>
  <c r="F110" i="66"/>
  <c r="F105" i="66"/>
  <c r="F113" i="66"/>
  <c r="F108" i="66"/>
  <c r="F111" i="66"/>
  <c r="F101" i="66"/>
  <c r="F104" i="66"/>
  <c r="F97" i="66"/>
  <c r="F117" i="66"/>
  <c r="F96" i="66"/>
  <c r="F95" i="66"/>
  <c r="F85" i="66"/>
  <c r="F82" i="66"/>
  <c r="F74" i="66"/>
  <c r="F62" i="66"/>
  <c r="F54" i="66"/>
  <c r="F46" i="66"/>
  <c r="F94" i="66"/>
  <c r="F93" i="66"/>
  <c r="F81" i="66"/>
  <c r="F73" i="66"/>
  <c r="F69" i="66"/>
  <c r="F61" i="66"/>
  <c r="F53" i="66"/>
  <c r="F45" i="66"/>
  <c r="F87" i="66"/>
  <c r="F84" i="66"/>
  <c r="F72" i="66"/>
  <c r="F68" i="66"/>
  <c r="F59" i="66"/>
  <c r="F52" i="66"/>
  <c r="F44" i="66"/>
  <c r="L12" i="66"/>
  <c r="N12" i="66" s="1"/>
  <c r="F107" i="66"/>
  <c r="F106" i="66"/>
  <c r="F99" i="66"/>
  <c r="F98" i="66"/>
  <c r="F90" i="66"/>
  <c r="F78" i="66"/>
  <c r="F71" i="66"/>
  <c r="F67" i="66"/>
  <c r="F51" i="66"/>
  <c r="F43" i="66"/>
  <c r="F38" i="66"/>
  <c r="F100" i="66"/>
  <c r="F86" i="66"/>
  <c r="F66" i="66"/>
  <c r="F50" i="66"/>
  <c r="F42" i="66"/>
  <c r="F92" i="66"/>
  <c r="F89" i="66"/>
  <c r="F80" i="66"/>
  <c r="F77" i="66"/>
  <c r="F65" i="66"/>
  <c r="F60" i="66"/>
  <c r="F49" i="66"/>
  <c r="F41" i="66"/>
  <c r="F112" i="66"/>
  <c r="F102" i="66"/>
  <c r="F88" i="66"/>
  <c r="F83" i="66"/>
  <c r="F76" i="66"/>
  <c r="F64" i="66"/>
  <c r="F48" i="66"/>
  <c r="F40" i="66"/>
  <c r="F103" i="66"/>
  <c r="F55" i="66"/>
  <c r="F75" i="66"/>
  <c r="F39" i="66"/>
  <c r="F70" i="66"/>
  <c r="F63" i="66"/>
  <c r="D57" i="66"/>
  <c r="F91" i="66"/>
  <c r="F79" i="66"/>
  <c r="F47" i="66"/>
  <c r="P33" i="75"/>
  <c r="D48" i="65"/>
  <c r="L44" i="65"/>
  <c r="N44" i="65" s="1"/>
  <c r="T99" i="62"/>
  <c r="Z17" i="62"/>
  <c r="P99" i="62"/>
  <c r="X17" i="62"/>
  <c r="H27" i="50"/>
  <c r="N18" i="50"/>
  <c r="H51" i="65"/>
  <c r="L16" i="56"/>
  <c r="D65" i="56"/>
  <c r="N27" i="53"/>
  <c r="H31" i="53"/>
  <c r="D31" i="47"/>
  <c r="Z27" i="40"/>
  <c r="T31" i="40"/>
  <c r="P27" i="40"/>
  <c r="X18" i="40"/>
  <c r="F31" i="39"/>
  <c r="Z18" i="32"/>
  <c r="T27" i="32"/>
  <c r="X27" i="32" s="1"/>
  <c r="R105" i="36"/>
  <c r="D36" i="35"/>
  <c r="J158" i="34"/>
  <c r="J148" i="34"/>
  <c r="J144" i="34"/>
  <c r="J140" i="34"/>
  <c r="J136" i="34"/>
  <c r="J132" i="34"/>
  <c r="J126" i="34"/>
  <c r="J120" i="34"/>
  <c r="J114" i="34"/>
  <c r="J108" i="34"/>
  <c r="J92" i="34"/>
  <c r="H85" i="34"/>
  <c r="J76" i="34"/>
  <c r="J68" i="34"/>
  <c r="J60" i="34"/>
  <c r="N12" i="34"/>
  <c r="J163" i="34"/>
  <c r="J155" i="34"/>
  <c r="J147" i="34"/>
  <c r="J143" i="34"/>
  <c r="J139" i="34"/>
  <c r="J135" i="34"/>
  <c r="J131" i="34"/>
  <c r="J111" i="34"/>
  <c r="J105" i="34"/>
  <c r="J97" i="34"/>
  <c r="J91" i="34"/>
  <c r="J83" i="34"/>
  <c r="J75" i="34"/>
  <c r="J67" i="34"/>
  <c r="J59" i="34"/>
  <c r="J152" i="34"/>
  <c r="J146" i="34"/>
  <c r="J138" i="34"/>
  <c r="J128" i="34"/>
  <c r="J122" i="34"/>
  <c r="J116" i="34"/>
  <c r="J110" i="34"/>
  <c r="J102" i="34"/>
  <c r="J90" i="34"/>
  <c r="J82" i="34"/>
  <c r="J74" i="34"/>
  <c r="J66" i="34"/>
  <c r="J167" i="34"/>
  <c r="J161" i="34"/>
  <c r="J157" i="34"/>
  <c r="J125" i="34"/>
  <c r="J119" i="34"/>
  <c r="J113" i="34"/>
  <c r="J107" i="34"/>
  <c r="J101" i="34"/>
  <c r="J89" i="34"/>
  <c r="J87" i="34"/>
  <c r="J81" i="34"/>
  <c r="J73" i="34"/>
  <c r="J65" i="34"/>
  <c r="J159" i="34"/>
  <c r="J151" i="34"/>
  <c r="J145" i="34"/>
  <c r="J137" i="34"/>
  <c r="J127" i="34"/>
  <c r="J121" i="34"/>
  <c r="J115" i="34"/>
  <c r="J109" i="34"/>
  <c r="J99" i="34"/>
  <c r="J95" i="34"/>
  <c r="J79" i="34"/>
  <c r="J71" i="34"/>
  <c r="J63" i="34"/>
  <c r="J134" i="34"/>
  <c r="J100" i="34"/>
  <c r="J93" i="34"/>
  <c r="J77" i="34"/>
  <c r="J112" i="34"/>
  <c r="J70" i="34"/>
  <c r="J149" i="34"/>
  <c r="J130" i="34"/>
  <c r="J129" i="34"/>
  <c r="J123" i="34"/>
  <c r="J106" i="34"/>
  <c r="J98" i="34"/>
  <c r="J162" i="34"/>
  <c r="J156" i="34"/>
  <c r="J150" i="34"/>
  <c r="J142" i="34"/>
  <c r="J141" i="34"/>
  <c r="J124" i="34"/>
  <c r="J117" i="34"/>
  <c r="J103" i="34"/>
  <c r="J88" i="34"/>
  <c r="J61" i="34"/>
  <c r="J72" i="34"/>
  <c r="J62" i="34"/>
  <c r="J58" i="34"/>
  <c r="J118" i="34"/>
  <c r="J104" i="34"/>
  <c r="J96" i="34"/>
  <c r="J80" i="34"/>
  <c r="J69" i="34"/>
  <c r="J153" i="34"/>
  <c r="J64" i="34"/>
  <c r="J154" i="34"/>
  <c r="J85" i="34"/>
  <c r="J94" i="34"/>
  <c r="J78" i="34"/>
  <c r="J133" i="34"/>
  <c r="Z77" i="31"/>
  <c r="D27" i="26"/>
  <c r="L18" i="26"/>
  <c r="T27" i="20"/>
  <c r="Z18" i="20"/>
  <c r="D31" i="30"/>
  <c r="N110" i="25"/>
  <c r="D36" i="24"/>
  <c r="J80" i="21"/>
  <c r="J74" i="21"/>
  <c r="J58" i="21"/>
  <c r="J52" i="21"/>
  <c r="J44" i="21"/>
  <c r="J32" i="21"/>
  <c r="J24" i="21"/>
  <c r="J79" i="21"/>
  <c r="J69" i="21"/>
  <c r="J63" i="21"/>
  <c r="J55" i="21"/>
  <c r="J49" i="21"/>
  <c r="J43" i="21"/>
  <c r="J39" i="21"/>
  <c r="J31" i="21"/>
  <c r="J29" i="21"/>
  <c r="J92" i="21"/>
  <c r="J86" i="21"/>
  <c r="J82" i="21"/>
  <c r="J78" i="21"/>
  <c r="J66" i="21"/>
  <c r="J60" i="21"/>
  <c r="J46" i="21"/>
  <c r="J42" i="21"/>
  <c r="J38" i="21"/>
  <c r="J90" i="21"/>
  <c r="J84" i="21"/>
  <c r="J76" i="21"/>
  <c r="J72" i="21"/>
  <c r="J68" i="21"/>
  <c r="J62" i="21"/>
  <c r="J54" i="21"/>
  <c r="J48" i="21"/>
  <c r="J36" i="21"/>
  <c r="J30" i="21"/>
  <c r="N12" i="21"/>
  <c r="J81" i="21"/>
  <c r="J75" i="21"/>
  <c r="J71" i="21"/>
  <c r="J59" i="21"/>
  <c r="J45" i="21"/>
  <c r="J35" i="21"/>
  <c r="J27" i="21"/>
  <c r="J95" i="21"/>
  <c r="J88" i="21"/>
  <c r="J70" i="21"/>
  <c r="J64" i="21"/>
  <c r="J56" i="21"/>
  <c r="J50" i="21"/>
  <c r="J40" i="21"/>
  <c r="J34" i="21"/>
  <c r="H27" i="21"/>
  <c r="J83" i="21"/>
  <c r="J67" i="21"/>
  <c r="J61" i="21"/>
  <c r="J53" i="21"/>
  <c r="J47" i="21"/>
  <c r="J33" i="21"/>
  <c r="J25" i="21"/>
  <c r="J41" i="21"/>
  <c r="J73" i="21"/>
  <c r="J51" i="21"/>
  <c r="J23" i="21"/>
  <c r="J65" i="21"/>
  <c r="J57" i="21"/>
  <c r="J77" i="21"/>
  <c r="J37" i="21"/>
  <c r="X85" i="34"/>
  <c r="P165" i="34"/>
  <c r="L18" i="17"/>
  <c r="D27" i="17"/>
  <c r="Z213" i="15"/>
  <c r="L18" i="16"/>
  <c r="T27" i="13"/>
  <c r="Z18" i="13"/>
  <c r="V97" i="25"/>
  <c r="V93" i="25"/>
  <c r="V81" i="25"/>
  <c r="V73" i="25"/>
  <c r="V69" i="25"/>
  <c r="V61" i="25"/>
  <c r="V53" i="25"/>
  <c r="V45" i="25"/>
  <c r="V110" i="25"/>
  <c r="V100" i="25"/>
  <c r="V96" i="25"/>
  <c r="V92" i="25"/>
  <c r="V84" i="25"/>
  <c r="V80" i="25"/>
  <c r="V72" i="25"/>
  <c r="V68" i="25"/>
  <c r="V60" i="25"/>
  <c r="V52" i="25"/>
  <c r="V44" i="25"/>
  <c r="Z12" i="25"/>
  <c r="V111" i="25"/>
  <c r="V105" i="25"/>
  <c r="V101" i="25"/>
  <c r="V89" i="25"/>
  <c r="V85" i="25"/>
  <c r="V77" i="25"/>
  <c r="V65" i="25"/>
  <c r="V49" i="25"/>
  <c r="V41" i="25"/>
  <c r="V117" i="25"/>
  <c r="V107" i="25"/>
  <c r="V91" i="25"/>
  <c r="V87" i="25"/>
  <c r="V79" i="25"/>
  <c r="V75" i="25"/>
  <c r="V63" i="25"/>
  <c r="V59" i="25"/>
  <c r="V55" i="25"/>
  <c r="V47" i="25"/>
  <c r="V39" i="25"/>
  <c r="V112" i="25"/>
  <c r="V90" i="25"/>
  <c r="V82" i="25"/>
  <c r="V78" i="25"/>
  <c r="V74" i="25"/>
  <c r="V62" i="25"/>
  <c r="V54" i="25"/>
  <c r="V46" i="25"/>
  <c r="V38" i="25"/>
  <c r="V104" i="25"/>
  <c r="V102" i="25"/>
  <c r="V88" i="25"/>
  <c r="V98" i="25"/>
  <c r="V67" i="25"/>
  <c r="V42" i="25"/>
  <c r="V113" i="25"/>
  <c r="V64" i="25"/>
  <c r="V50" i="25"/>
  <c r="V99" i="25"/>
  <c r="V51" i="25"/>
  <c r="V43" i="25"/>
  <c r="V106" i="25"/>
  <c r="V94" i="25"/>
  <c r="V86" i="25"/>
  <c r="V71" i="25"/>
  <c r="V57" i="25"/>
  <c r="V40" i="25"/>
  <c r="V66" i="25"/>
  <c r="T57" i="25"/>
  <c r="V48" i="25"/>
  <c r="V108" i="25"/>
  <c r="V95" i="25"/>
  <c r="V83" i="25"/>
  <c r="V76" i="25"/>
  <c r="V103" i="25"/>
  <c r="V70" i="25"/>
  <c r="X213" i="15"/>
  <c r="L18" i="10"/>
  <c r="D27" i="10"/>
  <c r="N18" i="7"/>
  <c r="H27" i="7"/>
  <c r="L27" i="7" s="1"/>
  <c r="H31" i="17"/>
  <c r="N27" i="17"/>
  <c r="P27" i="11"/>
  <c r="X18" i="11"/>
  <c r="T262" i="3"/>
  <c r="Z153" i="3"/>
  <c r="X16" i="80"/>
  <c r="P32" i="80"/>
  <c r="P67" i="73"/>
  <c r="X20" i="73"/>
  <c r="Z20" i="73" s="1"/>
  <c r="T36" i="30"/>
  <c r="Z36" i="30" s="1"/>
  <c r="Z31" i="30"/>
  <c r="Z60" i="97"/>
  <c r="H27" i="98"/>
  <c r="N18" i="98"/>
  <c r="X18" i="100"/>
  <c r="P27" i="100"/>
  <c r="X18" i="99"/>
  <c r="H26" i="93"/>
  <c r="N16" i="93"/>
  <c r="Z16" i="93"/>
  <c r="T26" i="93"/>
  <c r="X26" i="93" s="1"/>
  <c r="V75" i="94"/>
  <c r="V55" i="94"/>
  <c r="V78" i="94"/>
  <c r="V74" i="94"/>
  <c r="V54" i="94"/>
  <c r="V79" i="94"/>
  <c r="V71" i="94"/>
  <c r="V67" i="94"/>
  <c r="V63" i="94"/>
  <c r="V59" i="94"/>
  <c r="V69" i="94"/>
  <c r="V61" i="94"/>
  <c r="V53" i="94"/>
  <c r="V82" i="94"/>
  <c r="V76" i="94"/>
  <c r="V68" i="94"/>
  <c r="V52" i="94"/>
  <c r="V66" i="94"/>
  <c r="V46" i="94"/>
  <c r="V38" i="94"/>
  <c r="V26" i="94"/>
  <c r="V18" i="94"/>
  <c r="V60" i="94"/>
  <c r="V49" i="94"/>
  <c r="V41" i="94"/>
  <c r="V37" i="94"/>
  <c r="V33" i="94"/>
  <c r="V25" i="94"/>
  <c r="V17" i="94"/>
  <c r="V73" i="94"/>
  <c r="V65" i="94"/>
  <c r="V48" i="94"/>
  <c r="V40" i="94"/>
  <c r="V36" i="94"/>
  <c r="V32" i="94"/>
  <c r="V24" i="94"/>
  <c r="V86" i="94"/>
  <c r="V70" i="94"/>
  <c r="V62" i="94"/>
  <c r="V43" i="94"/>
  <c r="V35" i="94"/>
  <c r="V31" i="94"/>
  <c r="V80" i="94"/>
  <c r="V42" i="94"/>
  <c r="V34" i="94"/>
  <c r="V30" i="94"/>
  <c r="T21" i="94"/>
  <c r="V21" i="94" s="1"/>
  <c r="V51" i="94"/>
  <c r="V50" i="94"/>
  <c r="V44" i="94"/>
  <c r="V28" i="94"/>
  <c r="Z12" i="94"/>
  <c r="V72" i="94"/>
  <c r="V56" i="94"/>
  <c r="V29" i="94"/>
  <c r="V47" i="94"/>
  <c r="V19" i="94"/>
  <c r="V27" i="94"/>
  <c r="V64" i="94"/>
  <c r="V57" i="94"/>
  <c r="V45" i="94"/>
  <c r="V23" i="94"/>
  <c r="V77" i="94"/>
  <c r="V39" i="94"/>
  <c r="V58" i="94"/>
  <c r="X16" i="93"/>
  <c r="T33" i="82"/>
  <c r="Z16" i="82"/>
  <c r="L17" i="86"/>
  <c r="D66" i="86"/>
  <c r="L38" i="83"/>
  <c r="N38" i="83" s="1"/>
  <c r="L12" i="85"/>
  <c r="D38" i="84"/>
  <c r="L34" i="84"/>
  <c r="D36" i="80"/>
  <c r="V17" i="84"/>
  <c r="D72" i="81"/>
  <c r="L16" i="81"/>
  <c r="T74" i="76"/>
  <c r="Z20" i="76"/>
  <c r="V74" i="79"/>
  <c r="V70" i="79"/>
  <c r="V85" i="79"/>
  <c r="V79" i="79"/>
  <c r="V73" i="79"/>
  <c r="V69" i="79"/>
  <c r="V61" i="79"/>
  <c r="V53" i="79"/>
  <c r="V76" i="79"/>
  <c r="V68" i="79"/>
  <c r="V60" i="79"/>
  <c r="V56" i="79"/>
  <c r="V52" i="79"/>
  <c r="V75" i="79"/>
  <c r="V67" i="79"/>
  <c r="V63" i="79"/>
  <c r="V59" i="79"/>
  <c r="V55" i="79"/>
  <c r="V78" i="79"/>
  <c r="V72" i="79"/>
  <c r="V64" i="79"/>
  <c r="V62" i="79"/>
  <c r="V50" i="79"/>
  <c r="V42" i="79"/>
  <c r="V26" i="79"/>
  <c r="V22" i="79"/>
  <c r="V18" i="79"/>
  <c r="V45" i="79"/>
  <c r="V41" i="79"/>
  <c r="V25" i="79"/>
  <c r="V17" i="79"/>
  <c r="V81" i="79"/>
  <c r="V57" i="79"/>
  <c r="V44" i="79"/>
  <c r="V36" i="79"/>
  <c r="V24" i="79"/>
  <c r="V16" i="79"/>
  <c r="V47" i="79"/>
  <c r="V43" i="79"/>
  <c r="V35" i="79"/>
  <c r="V31" i="79"/>
  <c r="V23" i="79"/>
  <c r="V88" i="79"/>
  <c r="V58" i="79"/>
  <c r="V46" i="79"/>
  <c r="V38" i="79"/>
  <c r="V34" i="79"/>
  <c r="V30" i="79"/>
  <c r="V20" i="79"/>
  <c r="V83" i="79"/>
  <c r="V71" i="79"/>
  <c r="V66" i="79"/>
  <c r="V54" i="79"/>
  <c r="V48" i="79"/>
  <c r="V40" i="79"/>
  <c r="V32" i="79"/>
  <c r="V28" i="79"/>
  <c r="Z12" i="79"/>
  <c r="V65" i="79"/>
  <c r="T20" i="79"/>
  <c r="X20" i="79" s="1"/>
  <c r="V49" i="79"/>
  <c r="V33" i="79"/>
  <c r="V29" i="79"/>
  <c r="V51" i="79"/>
  <c r="V37" i="79"/>
  <c r="V39" i="79"/>
  <c r="V27" i="79"/>
  <c r="V20" i="75"/>
  <c r="Z12" i="75"/>
  <c r="V19" i="75"/>
  <c r="V18" i="75"/>
  <c r="V27" i="75"/>
  <c r="V23" i="75"/>
  <c r="T23" i="75"/>
  <c r="V31" i="75"/>
  <c r="V25" i="75"/>
  <c r="V21" i="75"/>
  <c r="X12" i="75"/>
  <c r="V71" i="70"/>
  <c r="V67" i="70"/>
  <c r="V63" i="70"/>
  <c r="V59" i="70"/>
  <c r="V47" i="70"/>
  <c r="V35" i="70"/>
  <c r="V31" i="70"/>
  <c r="V27" i="70"/>
  <c r="V76" i="70"/>
  <c r="V70" i="70"/>
  <c r="V66" i="70"/>
  <c r="V62" i="70"/>
  <c r="V58" i="70"/>
  <c r="V50" i="70"/>
  <c r="V34" i="70"/>
  <c r="V26" i="70"/>
  <c r="V73" i="70"/>
  <c r="V65" i="70"/>
  <c r="V49" i="70"/>
  <c r="V55" i="70"/>
  <c r="V51" i="70"/>
  <c r="V43" i="70"/>
  <c r="V39" i="70"/>
  <c r="V80" i="70"/>
  <c r="V54" i="70"/>
  <c r="V46" i="70"/>
  <c r="V42" i="70"/>
  <c r="V38" i="70"/>
  <c r="T29" i="70"/>
  <c r="V61" i="70"/>
  <c r="V45" i="70"/>
  <c r="V40" i="70"/>
  <c r="V37" i="70"/>
  <c r="V33" i="70"/>
  <c r="V64" i="70"/>
  <c r="V44" i="70"/>
  <c r="V68" i="70"/>
  <c r="V56" i="70"/>
  <c r="V72" i="70"/>
  <c r="V69" i="70"/>
  <c r="V57" i="70"/>
  <c r="V75" i="70"/>
  <c r="V53" i="70"/>
  <c r="V52" i="70"/>
  <c r="V48" i="70"/>
  <c r="V60" i="70"/>
  <c r="V32" i="70"/>
  <c r="V36" i="70"/>
  <c r="V41" i="70"/>
  <c r="X110" i="66"/>
  <c r="Z110" i="66" s="1"/>
  <c r="J55" i="70"/>
  <c r="J49" i="70"/>
  <c r="J43" i="70"/>
  <c r="J39" i="70"/>
  <c r="J80" i="70"/>
  <c r="J72" i="70"/>
  <c r="J64" i="70"/>
  <c r="J54" i="70"/>
  <c r="J46" i="70"/>
  <c r="J42" i="70"/>
  <c r="J38" i="70"/>
  <c r="J32" i="70"/>
  <c r="J69" i="70"/>
  <c r="J61" i="70"/>
  <c r="J57" i="70"/>
  <c r="J51" i="70"/>
  <c r="J75" i="70"/>
  <c r="J71" i="70"/>
  <c r="J67" i="70"/>
  <c r="J63" i="70"/>
  <c r="J59" i="70"/>
  <c r="J53" i="70"/>
  <c r="J45" i="70"/>
  <c r="J41" i="70"/>
  <c r="J35" i="70"/>
  <c r="J27" i="70"/>
  <c r="J66" i="70"/>
  <c r="J56" i="70"/>
  <c r="J50" i="70"/>
  <c r="J34" i="70"/>
  <c r="J76" i="70"/>
  <c r="J73" i="70"/>
  <c r="J48" i="70"/>
  <c r="J26" i="70"/>
  <c r="J60" i="70"/>
  <c r="J36" i="70"/>
  <c r="N12" i="70"/>
  <c r="J62" i="70"/>
  <c r="J40" i="70"/>
  <c r="J44" i="70"/>
  <c r="J37" i="70"/>
  <c r="J33" i="70"/>
  <c r="J29" i="70"/>
  <c r="J31" i="70"/>
  <c r="H29" i="70"/>
  <c r="J68" i="70"/>
  <c r="J58" i="70"/>
  <c r="J70" i="70"/>
  <c r="J65" i="70"/>
  <c r="J47" i="70"/>
  <c r="J52" i="70"/>
  <c r="V50" i="71"/>
  <c r="V91" i="71"/>
  <c r="H29" i="75"/>
  <c r="N21" i="67"/>
  <c r="H50" i="67"/>
  <c r="D99" i="62"/>
  <c r="L17" i="62"/>
  <c r="T44" i="65"/>
  <c r="Z17" i="65"/>
  <c r="H27" i="52"/>
  <c r="N18" i="52"/>
  <c r="X16" i="61"/>
  <c r="H32" i="80"/>
  <c r="N16" i="80"/>
  <c r="X18" i="46"/>
  <c r="P27" i="46"/>
  <c r="T63" i="48"/>
  <c r="Z17" i="48"/>
  <c r="T50" i="60"/>
  <c r="H34" i="55"/>
  <c r="X91" i="51"/>
  <c r="Z91" i="51" s="1"/>
  <c r="L18" i="47"/>
  <c r="D27" i="40"/>
  <c r="L18" i="40"/>
  <c r="X18" i="41"/>
  <c r="P27" i="41"/>
  <c r="F60" i="48"/>
  <c r="L18" i="37"/>
  <c r="D27" i="37"/>
  <c r="N107" i="39"/>
  <c r="L18" i="41"/>
  <c r="J100" i="39"/>
  <c r="J92" i="39"/>
  <c r="J84" i="39"/>
  <c r="J76" i="39"/>
  <c r="J70" i="39"/>
  <c r="J64" i="39"/>
  <c r="J50" i="39"/>
  <c r="J40" i="39"/>
  <c r="J34" i="39"/>
  <c r="J107" i="39"/>
  <c r="J103" i="39"/>
  <c r="J97" i="39"/>
  <c r="J91" i="39"/>
  <c r="J83" i="39"/>
  <c r="J79" i="39"/>
  <c r="J75" i="39"/>
  <c r="J67" i="39"/>
  <c r="J61" i="39"/>
  <c r="J55" i="39"/>
  <c r="J39" i="39"/>
  <c r="J31" i="39"/>
  <c r="J110" i="39"/>
  <c r="J102" i="39"/>
  <c r="J90" i="39"/>
  <c r="J86" i="39"/>
  <c r="J82" i="39"/>
  <c r="J72" i="39"/>
  <c r="J58" i="39"/>
  <c r="J52" i="39"/>
  <c r="J44" i="39"/>
  <c r="J38" i="39"/>
  <c r="H31" i="39"/>
  <c r="L31" i="39" s="1"/>
  <c r="J105" i="39"/>
  <c r="J99" i="39"/>
  <c r="J89" i="39"/>
  <c r="J81" i="39"/>
  <c r="J69" i="39"/>
  <c r="J63" i="39"/>
  <c r="J57" i="39"/>
  <c r="J49" i="39"/>
  <c r="J37" i="39"/>
  <c r="J29" i="39"/>
  <c r="J114" i="39"/>
  <c r="J108" i="39"/>
  <c r="J96" i="39"/>
  <c r="J88" i="39"/>
  <c r="J78" i="39"/>
  <c r="J74" i="39"/>
  <c r="J66" i="39"/>
  <c r="J60" i="39"/>
  <c r="J54" i="39"/>
  <c r="J48" i="39"/>
  <c r="J36" i="39"/>
  <c r="J28" i="39"/>
  <c r="N12" i="39"/>
  <c r="J104" i="39"/>
  <c r="J98" i="39"/>
  <c r="J94" i="39"/>
  <c r="J80" i="39"/>
  <c r="J68" i="39"/>
  <c r="J62" i="39"/>
  <c r="J56" i="39"/>
  <c r="J46" i="39"/>
  <c r="J42" i="39"/>
  <c r="J47" i="39"/>
  <c r="J27" i="39"/>
  <c r="J109" i="39"/>
  <c r="J59" i="39"/>
  <c r="J51" i="39"/>
  <c r="J85" i="39"/>
  <c r="J73" i="39"/>
  <c r="J65" i="39"/>
  <c r="J45" i="39"/>
  <c r="J101" i="39"/>
  <c r="J93" i="39"/>
  <c r="J77" i="39"/>
  <c r="J33" i="39"/>
  <c r="J87" i="39"/>
  <c r="J53" i="39"/>
  <c r="J35" i="39"/>
  <c r="J95" i="39"/>
  <c r="J43" i="39"/>
  <c r="J41" i="39"/>
  <c r="J71" i="39"/>
  <c r="T31" i="47"/>
  <c r="Z27" i="47"/>
  <c r="F107" i="39"/>
  <c r="J78" i="31"/>
  <c r="J72" i="31"/>
  <c r="J64" i="31"/>
  <c r="J60" i="31"/>
  <c r="J54" i="31"/>
  <c r="J46" i="31"/>
  <c r="J42" i="31"/>
  <c r="J57" i="31"/>
  <c r="J51" i="31"/>
  <c r="J45" i="31"/>
  <c r="J41" i="31"/>
  <c r="J74" i="31"/>
  <c r="J66" i="31"/>
  <c r="J56" i="31"/>
  <c r="J48" i="31"/>
  <c r="J44" i="31"/>
  <c r="J40" i="31"/>
  <c r="J34" i="31"/>
  <c r="J26" i="31"/>
  <c r="J83" i="31"/>
  <c r="J77" i="31"/>
  <c r="J73" i="31"/>
  <c r="J69" i="31"/>
  <c r="J65" i="31"/>
  <c r="J61" i="31"/>
  <c r="J55" i="31"/>
  <c r="J47" i="31"/>
  <c r="J43" i="31"/>
  <c r="J37" i="31"/>
  <c r="J29" i="31"/>
  <c r="J49" i="31"/>
  <c r="J38" i="31"/>
  <c r="J75" i="31"/>
  <c r="J63" i="31"/>
  <c r="J50" i="31"/>
  <c r="J28" i="31"/>
  <c r="J67" i="31"/>
  <c r="J52" i="31"/>
  <c r="J59" i="31"/>
  <c r="J58" i="31"/>
  <c r="J35" i="31"/>
  <c r="J33" i="31"/>
  <c r="H31" i="31"/>
  <c r="J70" i="31"/>
  <c r="J36" i="31"/>
  <c r="J71" i="31"/>
  <c r="N12" i="31"/>
  <c r="J62" i="31"/>
  <c r="J68" i="31"/>
  <c r="J53" i="31"/>
  <c r="J39" i="31"/>
  <c r="J79" i="31"/>
  <c r="J27" i="31"/>
  <c r="D27" i="32"/>
  <c r="L18" i="32"/>
  <c r="R157" i="28"/>
  <c r="R154" i="28"/>
  <c r="R151" i="28"/>
  <c r="R139" i="28"/>
  <c r="R135" i="28"/>
  <c r="R122" i="28"/>
  <c r="R119" i="28"/>
  <c r="R107" i="28"/>
  <c r="R102" i="28"/>
  <c r="R98" i="28"/>
  <c r="R94" i="28"/>
  <c r="R78" i="28"/>
  <c r="R70" i="28"/>
  <c r="R62" i="28"/>
  <c r="R142" i="28"/>
  <c r="R125" i="28"/>
  <c r="R113" i="28"/>
  <c r="R110" i="28"/>
  <c r="R97" i="28"/>
  <c r="R93" i="28"/>
  <c r="R86" i="28"/>
  <c r="R77" i="28"/>
  <c r="R69" i="28"/>
  <c r="R61" i="28"/>
  <c r="R158" i="28"/>
  <c r="R147" i="28"/>
  <c r="R131" i="28"/>
  <c r="R127" i="28"/>
  <c r="R124" i="28"/>
  <c r="R115" i="28"/>
  <c r="R112" i="28"/>
  <c r="R91" i="28"/>
  <c r="P83" i="28"/>
  <c r="R75" i="28"/>
  <c r="R67" i="28"/>
  <c r="R59" i="28"/>
  <c r="R150" i="28"/>
  <c r="R146" i="28"/>
  <c r="R138" i="28"/>
  <c r="R134" i="28"/>
  <c r="R130" i="28"/>
  <c r="R118" i="28"/>
  <c r="R106" i="28"/>
  <c r="R103" i="28"/>
  <c r="R95" i="28"/>
  <c r="R90" i="28"/>
  <c r="R74" i="28"/>
  <c r="R66" i="28"/>
  <c r="R58" i="28"/>
  <c r="R156" i="28"/>
  <c r="R145" i="28"/>
  <c r="R141" i="28"/>
  <c r="R137" i="28"/>
  <c r="R133" i="28"/>
  <c r="R129" i="28"/>
  <c r="R126" i="28"/>
  <c r="R114" i="28"/>
  <c r="R109" i="28"/>
  <c r="R89" i="28"/>
  <c r="R81" i="28"/>
  <c r="R162" i="28"/>
  <c r="R152" i="28"/>
  <c r="R149" i="28"/>
  <c r="R144" i="28"/>
  <c r="R140" i="28"/>
  <c r="R136" i="28"/>
  <c r="R120" i="28"/>
  <c r="R117" i="28"/>
  <c r="R108" i="28"/>
  <c r="R105" i="28"/>
  <c r="R100" i="28"/>
  <c r="R88" i="28"/>
  <c r="R85" i="28"/>
  <c r="R80" i="28"/>
  <c r="R72" i="28"/>
  <c r="R64" i="28"/>
  <c r="R143" i="28"/>
  <c r="R132" i="28"/>
  <c r="R128" i="28"/>
  <c r="R123" i="28"/>
  <c r="R111" i="28"/>
  <c r="R99" i="28"/>
  <c r="R87" i="28"/>
  <c r="R79" i="28"/>
  <c r="R71" i="28"/>
  <c r="R63" i="28"/>
  <c r="R56" i="28"/>
  <c r="R104" i="28"/>
  <c r="R101" i="28"/>
  <c r="R60" i="28"/>
  <c r="R57" i="28"/>
  <c r="R116" i="28"/>
  <c r="R96" i="28"/>
  <c r="R76" i="28"/>
  <c r="R73" i="28"/>
  <c r="R148" i="28"/>
  <c r="R121" i="28"/>
  <c r="X12" i="28"/>
  <c r="Z12" i="28" s="1"/>
  <c r="R153" i="28"/>
  <c r="R83" i="28"/>
  <c r="R68" i="28"/>
  <c r="R65" i="28"/>
  <c r="R92" i="28"/>
  <c r="J145" i="28"/>
  <c r="J141" i="28"/>
  <c r="J137" i="28"/>
  <c r="J133" i="28"/>
  <c r="J129" i="28"/>
  <c r="J109" i="28"/>
  <c r="J103" i="28"/>
  <c r="J95" i="28"/>
  <c r="J89" i="28"/>
  <c r="J81" i="28"/>
  <c r="J73" i="28"/>
  <c r="J65" i="28"/>
  <c r="J57" i="28"/>
  <c r="J162" i="28"/>
  <c r="J156" i="28"/>
  <c r="J152" i="28"/>
  <c r="J144" i="28"/>
  <c r="J140" i="28"/>
  <c r="J136" i="28"/>
  <c r="J126" i="28"/>
  <c r="J120" i="28"/>
  <c r="J114" i="28"/>
  <c r="J108" i="28"/>
  <c r="J100" i="28"/>
  <c r="J88" i="28"/>
  <c r="J80" i="28"/>
  <c r="J72" i="28"/>
  <c r="J64" i="28"/>
  <c r="J154" i="28"/>
  <c r="J132" i="28"/>
  <c r="J128" i="28"/>
  <c r="J122" i="28"/>
  <c r="J102" i="28"/>
  <c r="J98" i="28"/>
  <c r="J94" i="28"/>
  <c r="J78" i="28"/>
  <c r="J70" i="28"/>
  <c r="J62" i="28"/>
  <c r="J56" i="28"/>
  <c r="J157" i="28"/>
  <c r="J151" i="28"/>
  <c r="J139" i="28"/>
  <c r="J135" i="28"/>
  <c r="J125" i="28"/>
  <c r="J119" i="28"/>
  <c r="J113" i="28"/>
  <c r="J107" i="28"/>
  <c r="J97" i="28"/>
  <c r="J93" i="28"/>
  <c r="J77" i="28"/>
  <c r="J69" i="28"/>
  <c r="J61" i="28"/>
  <c r="J148" i="28"/>
  <c r="J142" i="28"/>
  <c r="J116" i="28"/>
  <c r="J110" i="28"/>
  <c r="J104" i="28"/>
  <c r="J96" i="28"/>
  <c r="J92" i="28"/>
  <c r="J86" i="28"/>
  <c r="J153" i="28"/>
  <c r="J147" i="28"/>
  <c r="J131" i="28"/>
  <c r="J127" i="28"/>
  <c r="J121" i="28"/>
  <c r="J115" i="28"/>
  <c r="J101" i="28"/>
  <c r="J91" i="28"/>
  <c r="J75" i="28"/>
  <c r="J67" i="28"/>
  <c r="J59" i="28"/>
  <c r="J158" i="28"/>
  <c r="J150" i="28"/>
  <c r="J146" i="28"/>
  <c r="J138" i="28"/>
  <c r="J134" i="28"/>
  <c r="J130" i="28"/>
  <c r="J124" i="28"/>
  <c r="J118" i="28"/>
  <c r="J112" i="28"/>
  <c r="J106" i="28"/>
  <c r="J90" i="28"/>
  <c r="H83" i="28"/>
  <c r="J74" i="28"/>
  <c r="J66" i="28"/>
  <c r="J58" i="28"/>
  <c r="J143" i="28"/>
  <c r="J111" i="28"/>
  <c r="J87" i="28"/>
  <c r="J71" i="28"/>
  <c r="J68" i="28"/>
  <c r="J123" i="28"/>
  <c r="J117" i="28"/>
  <c r="J79" i="28"/>
  <c r="J76" i="28"/>
  <c r="J99" i="28"/>
  <c r="J149" i="28"/>
  <c r="J85" i="28"/>
  <c r="J63" i="28"/>
  <c r="J105" i="28"/>
  <c r="J60" i="28"/>
  <c r="T165" i="34"/>
  <c r="Z85" i="34"/>
  <c r="X18" i="23"/>
  <c r="P27" i="23"/>
  <c r="L18" i="20"/>
  <c r="D27" i="20"/>
  <c r="F105" i="36"/>
  <c r="P27" i="20"/>
  <c r="X18" i="20"/>
  <c r="X27" i="21"/>
  <c r="Z27" i="21" s="1"/>
  <c r="P88" i="21"/>
  <c r="L18" i="19"/>
  <c r="N221" i="12"/>
  <c r="L213" i="15"/>
  <c r="N213" i="15" s="1"/>
  <c r="X12" i="18"/>
  <c r="Z12" i="18" s="1"/>
  <c r="J217" i="15"/>
  <c r="J177" i="15"/>
  <c r="J157" i="15"/>
  <c r="J141" i="15"/>
  <c r="J135" i="15"/>
  <c r="J129" i="15"/>
  <c r="J113" i="15"/>
  <c r="J105" i="15"/>
  <c r="J97" i="15"/>
  <c r="J89" i="15"/>
  <c r="J81" i="15"/>
  <c r="J210" i="15"/>
  <c r="J206" i="15"/>
  <c r="J200" i="15"/>
  <c r="J190" i="15"/>
  <c r="J174" i="15"/>
  <c r="J168" i="15"/>
  <c r="J162" i="15"/>
  <c r="J150" i="15"/>
  <c r="J144" i="15"/>
  <c r="J140" i="15"/>
  <c r="J128" i="15"/>
  <c r="H121" i="15"/>
  <c r="J112" i="15"/>
  <c r="J104" i="15"/>
  <c r="J96" i="15"/>
  <c r="J88" i="15"/>
  <c r="J80" i="15"/>
  <c r="J221" i="15"/>
  <c r="J215" i="15"/>
  <c r="J203" i="15"/>
  <c r="J199" i="15"/>
  <c r="J193" i="15"/>
  <c r="J185" i="15"/>
  <c r="J181" i="15"/>
  <c r="J171" i="15"/>
  <c r="J165" i="15"/>
  <c r="J159" i="15"/>
  <c r="J153" i="15"/>
  <c r="J147" i="15"/>
  <c r="J139" i="15"/>
  <c r="J127" i="15"/>
  <c r="J119" i="15"/>
  <c r="J111" i="15"/>
  <c r="J103" i="15"/>
  <c r="J95" i="15"/>
  <c r="J87" i="15"/>
  <c r="J202" i="15"/>
  <c r="J198" i="15"/>
  <c r="J176" i="15"/>
  <c r="J170" i="15"/>
  <c r="J156" i="15"/>
  <c r="J146" i="15"/>
  <c r="J138" i="15"/>
  <c r="J134" i="15"/>
  <c r="J126" i="15"/>
  <c r="J118" i="15"/>
  <c r="J110" i="15"/>
  <c r="J102" i="15"/>
  <c r="J94" i="15"/>
  <c r="J86" i="15"/>
  <c r="J216" i="15"/>
  <c r="J208" i="15"/>
  <c r="J196" i="15"/>
  <c r="J192" i="15"/>
  <c r="J188" i="15"/>
  <c r="J184" i="15"/>
  <c r="J180" i="15"/>
  <c r="J164" i="15"/>
  <c r="J158" i="15"/>
  <c r="J152" i="15"/>
  <c r="J136" i="15"/>
  <c r="J132" i="15"/>
  <c r="J116" i="15"/>
  <c r="J108" i="15"/>
  <c r="J100" i="15"/>
  <c r="J92" i="15"/>
  <c r="J84" i="15"/>
  <c r="J211" i="15"/>
  <c r="J207" i="15"/>
  <c r="J201" i="15"/>
  <c r="J195" i="15"/>
  <c r="J191" i="15"/>
  <c r="J187" i="15"/>
  <c r="J183" i="15"/>
  <c r="J179" i="15"/>
  <c r="J175" i="15"/>
  <c r="J169" i="15"/>
  <c r="J163" i="15"/>
  <c r="J155" i="15"/>
  <c r="J151" i="15"/>
  <c r="J145" i="15"/>
  <c r="J131" i="15"/>
  <c r="J115" i="15"/>
  <c r="J107" i="15"/>
  <c r="J99" i="15"/>
  <c r="J91" i="15"/>
  <c r="J83" i="15"/>
  <c r="J214" i="15"/>
  <c r="J204" i="15"/>
  <c r="J194" i="15"/>
  <c r="J186" i="15"/>
  <c r="J182" i="15"/>
  <c r="J178" i="15"/>
  <c r="J172" i="15"/>
  <c r="J166" i="15"/>
  <c r="J160" i="15"/>
  <c r="J154" i="15"/>
  <c r="J148" i="15"/>
  <c r="J142" i="15"/>
  <c r="J130" i="15"/>
  <c r="J124" i="15"/>
  <c r="J114" i="15"/>
  <c r="J106" i="15"/>
  <c r="J98" i="15"/>
  <c r="J90" i="15"/>
  <c r="J82" i="15"/>
  <c r="J137" i="15"/>
  <c r="J93" i="15"/>
  <c r="J143" i="15"/>
  <c r="J167" i="15"/>
  <c r="J161" i="15"/>
  <c r="J209" i="15"/>
  <c r="J149" i="15"/>
  <c r="J125" i="15"/>
  <c r="J101" i="15"/>
  <c r="J79" i="15"/>
  <c r="J133" i="15"/>
  <c r="J123" i="15"/>
  <c r="J109" i="15"/>
  <c r="J205" i="15"/>
  <c r="J117" i="15"/>
  <c r="J85" i="15"/>
  <c r="J213" i="15"/>
  <c r="J189" i="15"/>
  <c r="J173" i="15"/>
  <c r="J197" i="15"/>
  <c r="H31" i="20"/>
  <c r="N27" i="20"/>
  <c r="F239" i="18"/>
  <c r="F234" i="18"/>
  <c r="F230" i="18"/>
  <c r="F218" i="18"/>
  <c r="F214" i="18"/>
  <c r="F210" i="18"/>
  <c r="F206" i="18"/>
  <c r="F202" i="18"/>
  <c r="F198" i="18"/>
  <c r="F186" i="18"/>
  <c r="F181" i="18"/>
  <c r="F178" i="18"/>
  <c r="F174" i="18"/>
  <c r="F154" i="18"/>
  <c r="F138" i="18"/>
  <c r="F130" i="18"/>
  <c r="F122" i="18"/>
  <c r="F114" i="18"/>
  <c r="F106" i="18"/>
  <c r="F98" i="18"/>
  <c r="F93" i="18"/>
  <c r="F242" i="18"/>
  <c r="F224" i="18"/>
  <c r="F217" i="18"/>
  <c r="F209" i="18"/>
  <c r="F205" i="18"/>
  <c r="F201" i="18"/>
  <c r="F192" i="18"/>
  <c r="F189" i="18"/>
  <c r="F177" i="18"/>
  <c r="F168" i="18"/>
  <c r="F165" i="18"/>
  <c r="F153" i="18"/>
  <c r="F137" i="18"/>
  <c r="F129" i="18"/>
  <c r="F121" i="18"/>
  <c r="F113" i="18"/>
  <c r="F105" i="18"/>
  <c r="F97" i="18"/>
  <c r="F246" i="18"/>
  <c r="F237" i="18"/>
  <c r="F227" i="18"/>
  <c r="F200" i="18"/>
  <c r="F195" i="18"/>
  <c r="F183" i="18"/>
  <c r="F180" i="18"/>
  <c r="F171" i="18"/>
  <c r="F164" i="18"/>
  <c r="F152" i="18"/>
  <c r="F147" i="18"/>
  <c r="F136" i="18"/>
  <c r="F128" i="18"/>
  <c r="F120" i="18"/>
  <c r="F233" i="18"/>
  <c r="F229" i="18"/>
  <c r="F226" i="18"/>
  <c r="F222" i="18"/>
  <c r="F213" i="18"/>
  <c r="F197" i="18"/>
  <c r="F194" i="18"/>
  <c r="F185" i="18"/>
  <c r="F182" i="18"/>
  <c r="F173" i="18"/>
  <c r="F170" i="18"/>
  <c r="F162" i="18"/>
  <c r="F150" i="18"/>
  <c r="D144" i="18"/>
  <c r="F142" i="18"/>
  <c r="F134" i="18"/>
  <c r="F126" i="18"/>
  <c r="F118" i="18"/>
  <c r="F110" i="18"/>
  <c r="F102" i="18"/>
  <c r="F94" i="18"/>
  <c r="F238" i="18"/>
  <c r="F225" i="18"/>
  <c r="F221" i="18"/>
  <c r="F216" i="18"/>
  <c r="F208" i="18"/>
  <c r="F204" i="18"/>
  <c r="F193" i="18"/>
  <c r="F188" i="18"/>
  <c r="F176" i="18"/>
  <c r="F169" i="18"/>
  <c r="F161" i="18"/>
  <c r="F157" i="18"/>
  <c r="F149" i="18"/>
  <c r="F141" i="18"/>
  <c r="F133" i="18"/>
  <c r="F125" i="18"/>
  <c r="F117" i="18"/>
  <c r="F109" i="18"/>
  <c r="F101" i="18"/>
  <c r="F241" i="18"/>
  <c r="F232" i="18"/>
  <c r="F228" i="18"/>
  <c r="F220" i="18"/>
  <c r="F212" i="18"/>
  <c r="F199" i="18"/>
  <c r="F196" i="18"/>
  <c r="F184" i="18"/>
  <c r="F179" i="18"/>
  <c r="F172" i="18"/>
  <c r="F160" i="18"/>
  <c r="F156" i="18"/>
  <c r="F148" i="18"/>
  <c r="F140" i="18"/>
  <c r="F236" i="18"/>
  <c r="F231" i="18"/>
  <c r="F219" i="18"/>
  <c r="F215" i="18"/>
  <c r="F211" i="18"/>
  <c r="F207" i="18"/>
  <c r="F203" i="18"/>
  <c r="F190" i="18"/>
  <c r="F187" i="18"/>
  <c r="F175" i="18"/>
  <c r="F166" i="18"/>
  <c r="F159" i="18"/>
  <c r="F155" i="18"/>
  <c r="F146" i="18"/>
  <c r="F139" i="18"/>
  <c r="F131" i="18"/>
  <c r="F123" i="18"/>
  <c r="F115" i="18"/>
  <c r="F107" i="18"/>
  <c r="F99" i="18"/>
  <c r="F104" i="18"/>
  <c r="F158" i="18"/>
  <c r="F151" i="18"/>
  <c r="F119" i="18"/>
  <c r="F111" i="18"/>
  <c r="F108" i="18"/>
  <c r="F163" i="18"/>
  <c r="F132" i="18"/>
  <c r="F240" i="18"/>
  <c r="F191" i="18"/>
  <c r="F112" i="18"/>
  <c r="F167" i="18"/>
  <c r="F124" i="18"/>
  <c r="F127" i="18"/>
  <c r="F96" i="18"/>
  <c r="L12" i="18"/>
  <c r="F116" i="18"/>
  <c r="F103" i="18"/>
  <c r="F100" i="18"/>
  <c r="F135" i="18"/>
  <c r="F223" i="18"/>
  <c r="F95" i="18"/>
  <c r="F144" i="18"/>
  <c r="F201" i="15"/>
  <c r="F194" i="15"/>
  <c r="F186" i="15"/>
  <c r="F182" i="15"/>
  <c r="F178" i="15"/>
  <c r="F169" i="15"/>
  <c r="F166" i="15"/>
  <c r="F154" i="15"/>
  <c r="F145" i="15"/>
  <c r="F142" i="15"/>
  <c r="F130" i="15"/>
  <c r="F114" i="15"/>
  <c r="F106" i="15"/>
  <c r="F98" i="15"/>
  <c r="F90" i="15"/>
  <c r="F82" i="15"/>
  <c r="F214" i="15"/>
  <c r="F204" i="15"/>
  <c r="F177" i="15"/>
  <c r="F172" i="15"/>
  <c r="F160" i="15"/>
  <c r="F157" i="15"/>
  <c r="F148" i="15"/>
  <c r="F141" i="15"/>
  <c r="F129" i="15"/>
  <c r="F124" i="15"/>
  <c r="F113" i="15"/>
  <c r="F105" i="15"/>
  <c r="F97" i="15"/>
  <c r="F89" i="15"/>
  <c r="F81" i="15"/>
  <c r="F217" i="15"/>
  <c r="F200" i="15"/>
  <c r="F168" i="15"/>
  <c r="F144" i="15"/>
  <c r="F140" i="15"/>
  <c r="F135" i="15"/>
  <c r="F128" i="15"/>
  <c r="F121" i="15"/>
  <c r="F112" i="15"/>
  <c r="F104" i="15"/>
  <c r="F96" i="15"/>
  <c r="F88" i="15"/>
  <c r="F80" i="15"/>
  <c r="F221" i="15"/>
  <c r="F210" i="15"/>
  <c r="F206" i="15"/>
  <c r="F203" i="15"/>
  <c r="F199" i="15"/>
  <c r="F190" i="15"/>
  <c r="F174" i="15"/>
  <c r="F171" i="15"/>
  <c r="F162" i="15"/>
  <c r="F159" i="15"/>
  <c r="F150" i="15"/>
  <c r="F147" i="15"/>
  <c r="F139" i="15"/>
  <c r="F127" i="15"/>
  <c r="D121" i="15"/>
  <c r="F119" i="15"/>
  <c r="F111" i="15"/>
  <c r="F103" i="15"/>
  <c r="F95" i="15"/>
  <c r="F87" i="15"/>
  <c r="F209" i="15"/>
  <c r="F205" i="15"/>
  <c r="F197" i="15"/>
  <c r="F189" i="15"/>
  <c r="F176" i="15"/>
  <c r="F173" i="15"/>
  <c r="F161" i="15"/>
  <c r="F156" i="15"/>
  <c r="F149" i="15"/>
  <c r="F137" i="15"/>
  <c r="F133" i="15"/>
  <c r="F125" i="15"/>
  <c r="F117" i="15"/>
  <c r="F109" i="15"/>
  <c r="F101" i="15"/>
  <c r="F93" i="15"/>
  <c r="F85" i="15"/>
  <c r="F213" i="15"/>
  <c r="F208" i="15"/>
  <c r="F196" i="15"/>
  <c r="F192" i="15"/>
  <c r="F188" i="15"/>
  <c r="F184" i="15"/>
  <c r="F180" i="15"/>
  <c r="F167" i="15"/>
  <c r="F164" i="15"/>
  <c r="F152" i="15"/>
  <c r="F143" i="15"/>
  <c r="F136" i="15"/>
  <c r="F132" i="15"/>
  <c r="F123" i="15"/>
  <c r="F116" i="15"/>
  <c r="F108" i="15"/>
  <c r="F100" i="15"/>
  <c r="F92" i="15"/>
  <c r="F84" i="15"/>
  <c r="F79" i="15"/>
  <c r="L12" i="15"/>
  <c r="N12" i="15" s="1"/>
  <c r="F216" i="15"/>
  <c r="F211" i="15"/>
  <c r="F207" i="15"/>
  <c r="F195" i="15"/>
  <c r="F191" i="15"/>
  <c r="F187" i="15"/>
  <c r="F183" i="15"/>
  <c r="F179" i="15"/>
  <c r="F175" i="15"/>
  <c r="F163" i="15"/>
  <c r="F158" i="15"/>
  <c r="F155" i="15"/>
  <c r="F151" i="15"/>
  <c r="F131" i="15"/>
  <c r="F115" i="15"/>
  <c r="F107" i="15"/>
  <c r="F99" i="15"/>
  <c r="F91" i="15"/>
  <c r="F83" i="15"/>
  <c r="F193" i="15"/>
  <c r="F110" i="15"/>
  <c r="F181" i="15"/>
  <c r="F146" i="15"/>
  <c r="F118" i="15"/>
  <c r="F170" i="15"/>
  <c r="F138" i="15"/>
  <c r="F86" i="15"/>
  <c r="F215" i="15"/>
  <c r="F94" i="15"/>
  <c r="F126" i="15"/>
  <c r="F198" i="15"/>
  <c r="F185" i="15"/>
  <c r="F165" i="15"/>
  <c r="F102" i="15"/>
  <c r="F153" i="15"/>
  <c r="F134" i="15"/>
  <c r="F202" i="15"/>
  <c r="X27" i="8"/>
  <c r="P31" i="8"/>
  <c r="Z27" i="7"/>
  <c r="T31" i="7"/>
  <c r="R153" i="3"/>
  <c r="P49" i="61"/>
  <c r="X45" i="61"/>
  <c r="H103" i="62"/>
  <c r="Z16" i="59"/>
  <c r="T56" i="59"/>
  <c r="X56" i="59" s="1"/>
  <c r="P31" i="32"/>
  <c r="R71" i="31"/>
  <c r="R63" i="31"/>
  <c r="R59" i="31"/>
  <c r="R39" i="31"/>
  <c r="P31" i="31"/>
  <c r="R31" i="31" s="1"/>
  <c r="R77" i="31"/>
  <c r="R70" i="31"/>
  <c r="R62" i="31"/>
  <c r="R55" i="31"/>
  <c r="R50" i="31"/>
  <c r="R47" i="31"/>
  <c r="R43" i="31"/>
  <c r="R38" i="31"/>
  <c r="R83" i="31"/>
  <c r="R73" i="31"/>
  <c r="R69" i="31"/>
  <c r="R65" i="31"/>
  <c r="R61" i="31"/>
  <c r="R58" i="31"/>
  <c r="R37" i="31"/>
  <c r="R29" i="31"/>
  <c r="R54" i="31"/>
  <c r="R51" i="31"/>
  <c r="R46" i="31"/>
  <c r="R42" i="31"/>
  <c r="R79" i="31"/>
  <c r="R67" i="31"/>
  <c r="R66" i="31"/>
  <c r="R60" i="31"/>
  <c r="R53" i="31"/>
  <c r="R52" i="31"/>
  <c r="R56" i="31"/>
  <c r="R34" i="31"/>
  <c r="R33" i="31"/>
  <c r="R72" i="31"/>
  <c r="R41" i="31"/>
  <c r="X12" i="31"/>
  <c r="Z12" i="31" s="1"/>
  <c r="R64" i="31"/>
  <c r="R49" i="31"/>
  <c r="R44" i="31"/>
  <c r="R75" i="31"/>
  <c r="R74" i="31"/>
  <c r="R45" i="31"/>
  <c r="R28" i="31"/>
  <c r="R78" i="31"/>
  <c r="R68" i="31"/>
  <c r="R48" i="31"/>
  <c r="R27" i="31"/>
  <c r="R26" i="31"/>
  <c r="R36" i="31"/>
  <c r="R57" i="31"/>
  <c r="R35" i="31"/>
  <c r="R40" i="31"/>
  <c r="Z27" i="29"/>
  <c r="T31" i="29"/>
  <c r="P84" i="94"/>
  <c r="X21" i="94"/>
  <c r="P79" i="92"/>
  <c r="X21" i="92"/>
  <c r="Z21" i="92" s="1"/>
  <c r="F77" i="92"/>
  <c r="F72" i="92"/>
  <c r="F81" i="92"/>
  <c r="F75" i="92"/>
  <c r="F71" i="92"/>
  <c r="F58" i="92"/>
  <c r="F55" i="92"/>
  <c r="F50" i="92"/>
  <c r="F70" i="92"/>
  <c r="F65" i="92"/>
  <c r="F61" i="92"/>
  <c r="F69" i="92"/>
  <c r="F57" i="92"/>
  <c r="F52" i="92"/>
  <c r="F68" i="92"/>
  <c r="F64" i="92"/>
  <c r="F60" i="92"/>
  <c r="F66" i="92"/>
  <c r="F63" i="92"/>
  <c r="F56" i="92"/>
  <c r="F73" i="92"/>
  <c r="F59" i="92"/>
  <c r="F51" i="92"/>
  <c r="F47" i="92"/>
  <c r="F42" i="92"/>
  <c r="F39" i="92"/>
  <c r="F34" i="92"/>
  <c r="F27" i="92"/>
  <c r="D21" i="92"/>
  <c r="F19" i="92"/>
  <c r="F74" i="92"/>
  <c r="F67" i="92"/>
  <c r="F38" i="92"/>
  <c r="F26" i="92"/>
  <c r="F18" i="92"/>
  <c r="F53" i="92"/>
  <c r="F44" i="92"/>
  <c r="F41" i="92"/>
  <c r="F37" i="92"/>
  <c r="F33" i="92"/>
  <c r="F25" i="92"/>
  <c r="F49" i="92"/>
  <c r="F36" i="92"/>
  <c r="F32" i="92"/>
  <c r="F23" i="92"/>
  <c r="F54" i="92"/>
  <c r="F46" i="92"/>
  <c r="F43" i="92"/>
  <c r="F35" i="92"/>
  <c r="F31" i="92"/>
  <c r="F29" i="92"/>
  <c r="F48" i="92"/>
  <c r="F30" i="92"/>
  <c r="F45" i="92"/>
  <c r="F62" i="92"/>
  <c r="F40" i="92"/>
  <c r="F28" i="92"/>
  <c r="F24" i="92"/>
  <c r="F21" i="92"/>
  <c r="L12" i="92"/>
  <c r="N12" i="92" s="1"/>
  <c r="F17" i="92"/>
  <c r="T17" i="87"/>
  <c r="V17" i="87" s="1"/>
  <c r="V23" i="87"/>
  <c r="V27" i="87"/>
  <c r="V21" i="87"/>
  <c r="V20" i="87"/>
  <c r="V19" i="87"/>
  <c r="X12" i="87"/>
  <c r="Z12" i="87"/>
  <c r="V15" i="87"/>
  <c r="P25" i="87"/>
  <c r="X17" i="87"/>
  <c r="X17" i="86"/>
  <c r="P66" i="86"/>
  <c r="X20" i="85"/>
  <c r="Z20" i="85" s="1"/>
  <c r="R20" i="85"/>
  <c r="P83" i="85"/>
  <c r="R36" i="84"/>
  <c r="R30" i="84"/>
  <c r="R41" i="84"/>
  <c r="R34" i="84"/>
  <c r="R29" i="84"/>
  <c r="R26" i="84"/>
  <c r="R21" i="84"/>
  <c r="R25" i="84"/>
  <c r="R24" i="84"/>
  <c r="R19" i="84"/>
  <c r="R28" i="84"/>
  <c r="X12" i="84"/>
  <c r="Z12" i="84" s="1"/>
  <c r="R27" i="84"/>
  <c r="R23" i="84"/>
  <c r="R17" i="84"/>
  <c r="R22" i="84"/>
  <c r="R15" i="84"/>
  <c r="R38" i="84"/>
  <c r="P17" i="84"/>
  <c r="R20" i="84"/>
  <c r="R32" i="84"/>
  <c r="D45" i="83"/>
  <c r="L42" i="83"/>
  <c r="H30" i="78"/>
  <c r="N20" i="78"/>
  <c r="V24" i="78"/>
  <c r="V16" i="78"/>
  <c r="V23" i="78"/>
  <c r="V32" i="78"/>
  <c r="V26" i="78"/>
  <c r="V25" i="78"/>
  <c r="T20" i="78"/>
  <c r="Z12" i="78"/>
  <c r="V28" i="78"/>
  <c r="V22" i="78"/>
  <c r="V18" i="78"/>
  <c r="V17" i="78"/>
  <c r="R75" i="70"/>
  <c r="R68" i="70"/>
  <c r="R60" i="70"/>
  <c r="R53" i="70"/>
  <c r="R48" i="70"/>
  <c r="R45" i="70"/>
  <c r="R41" i="70"/>
  <c r="R36" i="70"/>
  <c r="X12" i="70"/>
  <c r="Z12" i="70" s="1"/>
  <c r="R71" i="70"/>
  <c r="R67" i="70"/>
  <c r="R63" i="70"/>
  <c r="R59" i="70"/>
  <c r="R56" i="70"/>
  <c r="R35" i="70"/>
  <c r="R27" i="70"/>
  <c r="R66" i="70"/>
  <c r="R50" i="70"/>
  <c r="R47" i="70"/>
  <c r="R52" i="70"/>
  <c r="R49" i="70"/>
  <c r="R44" i="70"/>
  <c r="R40" i="70"/>
  <c r="R72" i="70"/>
  <c r="R64" i="70"/>
  <c r="R55" i="70"/>
  <c r="R43" i="70"/>
  <c r="R39" i="70"/>
  <c r="R32" i="70"/>
  <c r="R54" i="70"/>
  <c r="R61" i="70"/>
  <c r="R37" i="70"/>
  <c r="R33" i="70"/>
  <c r="R58" i="70"/>
  <c r="R38" i="70"/>
  <c r="R34" i="70"/>
  <c r="R31" i="70"/>
  <c r="P29" i="70"/>
  <c r="R29" i="70" s="1"/>
  <c r="R80" i="70"/>
  <c r="R70" i="70"/>
  <c r="R65" i="70"/>
  <c r="R51" i="70"/>
  <c r="R42" i="70"/>
  <c r="R69" i="70"/>
  <c r="R57" i="70"/>
  <c r="R46" i="70"/>
  <c r="R26" i="70"/>
  <c r="R76" i="70"/>
  <c r="R73" i="70"/>
  <c r="R62" i="70"/>
  <c r="F52" i="67"/>
  <c r="F46" i="67"/>
  <c r="F41" i="67"/>
  <c r="F38" i="67"/>
  <c r="F33" i="67"/>
  <c r="F26" i="67"/>
  <c r="F25" i="67"/>
  <c r="F57" i="67"/>
  <c r="F50" i="67"/>
  <c r="F31" i="67"/>
  <c r="F18" i="67"/>
  <c r="F45" i="67"/>
  <c r="F42" i="67"/>
  <c r="F37" i="67"/>
  <c r="F34" i="67"/>
  <c r="F30" i="67"/>
  <c r="F29" i="67"/>
  <c r="F24" i="67"/>
  <c r="F44" i="67"/>
  <c r="F39" i="67"/>
  <c r="F36" i="67"/>
  <c r="F28" i="67"/>
  <c r="F21" i="67"/>
  <c r="F19" i="67"/>
  <c r="F48" i="67"/>
  <c r="D21" i="67"/>
  <c r="F27" i="67"/>
  <c r="F54" i="67"/>
  <c r="F43" i="67"/>
  <c r="F23" i="67"/>
  <c r="L12" i="67"/>
  <c r="F35" i="67"/>
  <c r="F40" i="67"/>
  <c r="F32" i="67"/>
  <c r="H96" i="71"/>
  <c r="H49" i="61"/>
  <c r="Z16" i="57"/>
  <c r="T61" i="57"/>
  <c r="H69" i="56"/>
  <c r="H68" i="58"/>
  <c r="L68" i="58" s="1"/>
  <c r="N16" i="58"/>
  <c r="P22" i="54"/>
  <c r="X16" i="54"/>
  <c r="R74" i="51"/>
  <c r="R71" i="51"/>
  <c r="R63" i="51"/>
  <c r="R58" i="51"/>
  <c r="P50" i="51"/>
  <c r="R42" i="51"/>
  <c r="R35" i="51"/>
  <c r="R92" i="51"/>
  <c r="R89" i="51"/>
  <c r="R86" i="51"/>
  <c r="R82" i="51"/>
  <c r="R77" i="51"/>
  <c r="R57" i="51"/>
  <c r="R41" i="51"/>
  <c r="R98" i="51"/>
  <c r="R76" i="51"/>
  <c r="R73" i="51"/>
  <c r="R68" i="51"/>
  <c r="R56" i="51"/>
  <c r="R48" i="51"/>
  <c r="R40" i="51"/>
  <c r="R88" i="51"/>
  <c r="R79" i="51"/>
  <c r="R67" i="51"/>
  <c r="R55" i="51"/>
  <c r="R52" i="51"/>
  <c r="R47" i="51"/>
  <c r="R39" i="51"/>
  <c r="R93" i="51"/>
  <c r="R75" i="51"/>
  <c r="R70" i="51"/>
  <c r="R66" i="51"/>
  <c r="R62" i="51"/>
  <c r="R54" i="51"/>
  <c r="R46" i="51"/>
  <c r="R38" i="51"/>
  <c r="R85" i="51"/>
  <c r="R81" i="51"/>
  <c r="R78" i="51"/>
  <c r="R65" i="51"/>
  <c r="R61" i="51"/>
  <c r="R45" i="51"/>
  <c r="R37" i="51"/>
  <c r="R94" i="51"/>
  <c r="R43" i="51"/>
  <c r="R87" i="51"/>
  <c r="R83" i="51"/>
  <c r="R53" i="51"/>
  <c r="R44" i="51"/>
  <c r="R84" i="51"/>
  <c r="R80" i="51"/>
  <c r="X12" i="51"/>
  <c r="Z12" i="51" s="1"/>
  <c r="R72" i="51"/>
  <c r="R69" i="51"/>
  <c r="R59" i="51"/>
  <c r="R36" i="51"/>
  <c r="R91" i="51"/>
  <c r="R50" i="51"/>
  <c r="R64" i="51"/>
  <c r="R60" i="51"/>
  <c r="L18" i="44"/>
  <c r="P65" i="57"/>
  <c r="X61" i="57"/>
  <c r="T27" i="43"/>
  <c r="Z18" i="43"/>
  <c r="V107" i="39"/>
  <c r="H27" i="37"/>
  <c r="N18" i="37"/>
  <c r="P36" i="43"/>
  <c r="Z18" i="33"/>
  <c r="T27" i="33"/>
  <c r="X18" i="29"/>
  <c r="P27" i="29"/>
  <c r="X18" i="19"/>
  <c r="P27" i="19"/>
  <c r="F106" i="25"/>
  <c r="F102" i="25"/>
  <c r="F86" i="25"/>
  <c r="F66" i="25"/>
  <c r="F50" i="25"/>
  <c r="F42" i="25"/>
  <c r="F110" i="25"/>
  <c r="F105" i="25"/>
  <c r="F92" i="25"/>
  <c r="F89" i="25"/>
  <c r="F80" i="25"/>
  <c r="F77" i="25"/>
  <c r="F65" i="25"/>
  <c r="F60" i="25"/>
  <c r="F49" i="25"/>
  <c r="F41" i="25"/>
  <c r="F111" i="25"/>
  <c r="F101" i="25"/>
  <c r="F85" i="25"/>
  <c r="F82" i="25"/>
  <c r="F74" i="25"/>
  <c r="F62" i="25"/>
  <c r="F54" i="25"/>
  <c r="F46" i="25"/>
  <c r="F107" i="25"/>
  <c r="F100" i="25"/>
  <c r="F96" i="25"/>
  <c r="F87" i="25"/>
  <c r="F84" i="25"/>
  <c r="F72" i="25"/>
  <c r="F68" i="25"/>
  <c r="F59" i="25"/>
  <c r="F52" i="25"/>
  <c r="F44" i="25"/>
  <c r="L12" i="25"/>
  <c r="F112" i="25"/>
  <c r="F103" i="25"/>
  <c r="F99" i="25"/>
  <c r="F95" i="25"/>
  <c r="F90" i="25"/>
  <c r="F78" i="25"/>
  <c r="F71" i="25"/>
  <c r="F67" i="25"/>
  <c r="F51" i="25"/>
  <c r="F43" i="25"/>
  <c r="F38" i="25"/>
  <c r="F81" i="25"/>
  <c r="F70" i="25"/>
  <c r="F57" i="25"/>
  <c r="F48" i="25"/>
  <c r="F93" i="25"/>
  <c r="F76" i="25"/>
  <c r="D57" i="25"/>
  <c r="F108" i="25"/>
  <c r="F94" i="25"/>
  <c r="F88" i="25"/>
  <c r="F63" i="25"/>
  <c r="F53" i="25"/>
  <c r="F45" i="25"/>
  <c r="F83" i="25"/>
  <c r="F64" i="25"/>
  <c r="F117" i="25"/>
  <c r="F97" i="25"/>
  <c r="F79" i="25"/>
  <c r="F61" i="25"/>
  <c r="F113" i="25"/>
  <c r="F104" i="25"/>
  <c r="F98" i="25"/>
  <c r="F91" i="25"/>
  <c r="F47" i="25"/>
  <c r="F39" i="25"/>
  <c r="F75" i="25"/>
  <c r="F69" i="25"/>
  <c r="F55" i="25"/>
  <c r="F40" i="25"/>
  <c r="F73" i="25"/>
  <c r="T27" i="22"/>
  <c r="X27" i="22" s="1"/>
  <c r="Z18" i="22"/>
  <c r="P27" i="26"/>
  <c r="X18" i="26"/>
  <c r="F153" i="28"/>
  <c r="F150" i="28"/>
  <c r="F146" i="28"/>
  <c r="F138" i="28"/>
  <c r="F134" i="28"/>
  <c r="F130" i="28"/>
  <c r="F121" i="28"/>
  <c r="F118" i="28"/>
  <c r="F106" i="28"/>
  <c r="F101" i="28"/>
  <c r="F90" i="28"/>
  <c r="F74" i="28"/>
  <c r="F66" i="28"/>
  <c r="F58" i="28"/>
  <c r="F158" i="28"/>
  <c r="F145" i="28"/>
  <c r="F141" i="28"/>
  <c r="F137" i="28"/>
  <c r="F133" i="28"/>
  <c r="F129" i="28"/>
  <c r="F124" i="28"/>
  <c r="F112" i="28"/>
  <c r="F109" i="28"/>
  <c r="F89" i="28"/>
  <c r="D83" i="28"/>
  <c r="F81" i="28"/>
  <c r="F73" i="28"/>
  <c r="F65" i="28"/>
  <c r="F57" i="28"/>
  <c r="F156" i="28"/>
  <c r="F143" i="28"/>
  <c r="F126" i="28"/>
  <c r="F123" i="28"/>
  <c r="F114" i="28"/>
  <c r="F111" i="28"/>
  <c r="F99" i="28"/>
  <c r="F87" i="28"/>
  <c r="F79" i="28"/>
  <c r="F71" i="28"/>
  <c r="F63" i="28"/>
  <c r="F154" i="28"/>
  <c r="F149" i="28"/>
  <c r="F122" i="28"/>
  <c r="F117" i="28"/>
  <c r="F105" i="28"/>
  <c r="F102" i="28"/>
  <c r="F98" i="28"/>
  <c r="F94" i="28"/>
  <c r="F85" i="28"/>
  <c r="F78" i="28"/>
  <c r="F70" i="28"/>
  <c r="F62" i="28"/>
  <c r="F132" i="28"/>
  <c r="F128" i="28"/>
  <c r="F125" i="28"/>
  <c r="F113" i="28"/>
  <c r="F97" i="28"/>
  <c r="F93" i="28"/>
  <c r="F157" i="28"/>
  <c r="F151" i="28"/>
  <c r="F148" i="28"/>
  <c r="F139" i="28"/>
  <c r="F135" i="28"/>
  <c r="F119" i="28"/>
  <c r="F116" i="28"/>
  <c r="F107" i="28"/>
  <c r="F104" i="28"/>
  <c r="F96" i="28"/>
  <c r="F92" i="28"/>
  <c r="F76" i="28"/>
  <c r="F68" i="28"/>
  <c r="F60" i="28"/>
  <c r="L12" i="28"/>
  <c r="N12" i="28" s="1"/>
  <c r="F147" i="28"/>
  <c r="F142" i="28"/>
  <c r="F131" i="28"/>
  <c r="F127" i="28"/>
  <c r="F115" i="28"/>
  <c r="F110" i="28"/>
  <c r="F91" i="28"/>
  <c r="F86" i="28"/>
  <c r="F75" i="28"/>
  <c r="F67" i="28"/>
  <c r="F59" i="28"/>
  <c r="F103" i="28"/>
  <c r="F80" i="28"/>
  <c r="F100" i="28"/>
  <c r="F108" i="28"/>
  <c r="F95" i="28"/>
  <c r="F56" i="28"/>
  <c r="F88" i="28"/>
  <c r="F136" i="28"/>
  <c r="F120" i="28"/>
  <c r="F61" i="28"/>
  <c r="F64" i="28"/>
  <c r="F162" i="28"/>
  <c r="F152" i="28"/>
  <c r="F140" i="28"/>
  <c r="F77" i="28"/>
  <c r="F72" i="28"/>
  <c r="F144" i="28"/>
  <c r="F69" i="28"/>
  <c r="D31" i="27"/>
  <c r="L27" i="27"/>
  <c r="X18" i="13"/>
  <c r="P27" i="13"/>
  <c r="V209" i="15"/>
  <c r="V205" i="15"/>
  <c r="V201" i="15"/>
  <c r="V197" i="15"/>
  <c r="V189" i="15"/>
  <c r="V173" i="15"/>
  <c r="V169" i="15"/>
  <c r="V161" i="15"/>
  <c r="V149" i="15"/>
  <c r="V145" i="15"/>
  <c r="V137" i="15"/>
  <c r="V133" i="15"/>
  <c r="V125" i="15"/>
  <c r="V117" i="15"/>
  <c r="V109" i="15"/>
  <c r="V101" i="15"/>
  <c r="V93" i="15"/>
  <c r="V85" i="15"/>
  <c r="V214" i="15"/>
  <c r="V208" i="15"/>
  <c r="V204" i="15"/>
  <c r="V196" i="15"/>
  <c r="V192" i="15"/>
  <c r="V188" i="15"/>
  <c r="V184" i="15"/>
  <c r="V180" i="15"/>
  <c r="V172" i="15"/>
  <c r="V164" i="15"/>
  <c r="V160" i="15"/>
  <c r="V152" i="15"/>
  <c r="V148" i="15"/>
  <c r="V136" i="15"/>
  <c r="V132" i="15"/>
  <c r="V124" i="15"/>
  <c r="V116" i="15"/>
  <c r="V108" i="15"/>
  <c r="V100" i="15"/>
  <c r="V92" i="15"/>
  <c r="V84" i="15"/>
  <c r="Z12" i="15"/>
  <c r="V217" i="15"/>
  <c r="V211" i="15"/>
  <c r="V207" i="15"/>
  <c r="V195" i="15"/>
  <c r="V191" i="15"/>
  <c r="V187" i="15"/>
  <c r="V183" i="15"/>
  <c r="V179" i="15"/>
  <c r="V175" i="15"/>
  <c r="V163" i="15"/>
  <c r="V155" i="15"/>
  <c r="V151" i="15"/>
  <c r="V135" i="15"/>
  <c r="V131" i="15"/>
  <c r="V121" i="15"/>
  <c r="V115" i="15"/>
  <c r="V107" i="15"/>
  <c r="V99" i="15"/>
  <c r="V91" i="15"/>
  <c r="V83" i="15"/>
  <c r="V210" i="15"/>
  <c r="V206" i="15"/>
  <c r="V194" i="15"/>
  <c r="V190" i="15"/>
  <c r="V186" i="15"/>
  <c r="V182" i="15"/>
  <c r="V178" i="15"/>
  <c r="V174" i="15"/>
  <c r="V166" i="15"/>
  <c r="V162" i="15"/>
  <c r="V154" i="15"/>
  <c r="V150" i="15"/>
  <c r="V142" i="15"/>
  <c r="V130" i="15"/>
  <c r="T121" i="15"/>
  <c r="V114" i="15"/>
  <c r="V106" i="15"/>
  <c r="V98" i="15"/>
  <c r="V90" i="15"/>
  <c r="V82" i="15"/>
  <c r="V200" i="15"/>
  <c r="V176" i="15"/>
  <c r="V168" i="15"/>
  <c r="V156" i="15"/>
  <c r="V144" i="15"/>
  <c r="V140" i="15"/>
  <c r="V128" i="15"/>
  <c r="V112" i="15"/>
  <c r="V104" i="15"/>
  <c r="V96" i="15"/>
  <c r="V88" i="15"/>
  <c r="V80" i="15"/>
  <c r="V221" i="15"/>
  <c r="V213" i="15"/>
  <c r="V203" i="15"/>
  <c r="V199" i="15"/>
  <c r="V171" i="15"/>
  <c r="V167" i="15"/>
  <c r="V159" i="15"/>
  <c r="V147" i="15"/>
  <c r="V143" i="15"/>
  <c r="V139" i="15"/>
  <c r="V127" i="15"/>
  <c r="V123" i="15"/>
  <c r="V119" i="15"/>
  <c r="V111" i="15"/>
  <c r="V103" i="15"/>
  <c r="V95" i="15"/>
  <c r="V87" i="15"/>
  <c r="V79" i="15"/>
  <c r="V216" i="15"/>
  <c r="V202" i="15"/>
  <c r="V198" i="15"/>
  <c r="V170" i="15"/>
  <c r="V158" i="15"/>
  <c r="V146" i="15"/>
  <c r="V138" i="15"/>
  <c r="V134" i="15"/>
  <c r="V126" i="15"/>
  <c r="V118" i="15"/>
  <c r="V110" i="15"/>
  <c r="V102" i="15"/>
  <c r="V94" i="15"/>
  <c r="V86" i="15"/>
  <c r="V113" i="15"/>
  <c r="V105" i="15"/>
  <c r="V81" i="15"/>
  <c r="V185" i="15"/>
  <c r="V165" i="15"/>
  <c r="V153" i="15"/>
  <c r="V141" i="15"/>
  <c r="V89" i="15"/>
  <c r="V181" i="15"/>
  <c r="V97" i="15"/>
  <c r="V157" i="15"/>
  <c r="V215" i="15"/>
  <c r="V129" i="15"/>
  <c r="V193" i="15"/>
  <c r="V177" i="15"/>
  <c r="D36" i="19"/>
  <c r="V217" i="12"/>
  <c r="V213" i="12"/>
  <c r="V209" i="12"/>
  <c r="V205" i="12"/>
  <c r="V197" i="12"/>
  <c r="V177" i="12"/>
  <c r="V169" i="12"/>
  <c r="V165" i="12"/>
  <c r="V157" i="12"/>
  <c r="V153" i="12"/>
  <c r="V141" i="12"/>
  <c r="V137" i="12"/>
  <c r="V129" i="12"/>
  <c r="V121" i="12"/>
  <c r="V113" i="12"/>
  <c r="V105" i="12"/>
  <c r="V97" i="12"/>
  <c r="V89" i="12"/>
  <c r="V222" i="12"/>
  <c r="V216" i="12"/>
  <c r="V212" i="12"/>
  <c r="V204" i="12"/>
  <c r="V200" i="12"/>
  <c r="V196" i="12"/>
  <c r="V180" i="12"/>
  <c r="V176" i="12"/>
  <c r="V168" i="12"/>
  <c r="V160" i="12"/>
  <c r="V156" i="12"/>
  <c r="V140" i="12"/>
  <c r="V136" i="12"/>
  <c r="V120" i="12"/>
  <c r="V112" i="12"/>
  <c r="V104" i="12"/>
  <c r="V96" i="12"/>
  <c r="V88" i="12"/>
  <c r="V225" i="12"/>
  <c r="V219" i="12"/>
  <c r="V215" i="12"/>
  <c r="V203" i="12"/>
  <c r="V199" i="12"/>
  <c r="V195" i="12"/>
  <c r="V191" i="12"/>
  <c r="V187" i="12"/>
  <c r="V179" i="12"/>
  <c r="V171" i="12"/>
  <c r="V167" i="12"/>
  <c r="V159" i="12"/>
  <c r="V155" i="12"/>
  <c r="V147" i="12"/>
  <c r="V135" i="12"/>
  <c r="T126" i="12"/>
  <c r="V126" i="12" s="1"/>
  <c r="V119" i="12"/>
  <c r="V111" i="12"/>
  <c r="V103" i="12"/>
  <c r="V95" i="12"/>
  <c r="V87" i="12"/>
  <c r="V218" i="12"/>
  <c r="V214" i="12"/>
  <c r="V202" i="12"/>
  <c r="V198" i="12"/>
  <c r="V194" i="12"/>
  <c r="V190" i="12"/>
  <c r="V186" i="12"/>
  <c r="V182" i="12"/>
  <c r="V170" i="12"/>
  <c r="V162" i="12"/>
  <c r="V158" i="12"/>
  <c r="V146" i="12"/>
  <c r="V134" i="12"/>
  <c r="V118" i="12"/>
  <c r="V110" i="12"/>
  <c r="V102" i="12"/>
  <c r="V94" i="12"/>
  <c r="V86" i="12"/>
  <c r="V208" i="12"/>
  <c r="V192" i="12"/>
  <c r="V188" i="12"/>
  <c r="V184" i="12"/>
  <c r="V172" i="12"/>
  <c r="V164" i="12"/>
  <c r="V152" i="12"/>
  <c r="V148" i="12"/>
  <c r="V144" i="12"/>
  <c r="V132" i="12"/>
  <c r="V128" i="12"/>
  <c r="V124" i="12"/>
  <c r="V116" i="12"/>
  <c r="V108" i="12"/>
  <c r="V100" i="12"/>
  <c r="V92" i="12"/>
  <c r="V84" i="12"/>
  <c r="V229" i="12"/>
  <c r="V221" i="12"/>
  <c r="V211" i="12"/>
  <c r="V207" i="12"/>
  <c r="V183" i="12"/>
  <c r="V175" i="12"/>
  <c r="V163" i="12"/>
  <c r="V151" i="12"/>
  <c r="V143" i="12"/>
  <c r="V139" i="12"/>
  <c r="V131" i="12"/>
  <c r="V123" i="12"/>
  <c r="V115" i="12"/>
  <c r="V107" i="12"/>
  <c r="V99" i="12"/>
  <c r="V224" i="12"/>
  <c r="V210" i="12"/>
  <c r="V206" i="12"/>
  <c r="V178" i="12"/>
  <c r="V174" i="12"/>
  <c r="V166" i="12"/>
  <c r="V154" i="12"/>
  <c r="V150" i="12"/>
  <c r="V142" i="12"/>
  <c r="V138" i="12"/>
  <c r="V130" i="12"/>
  <c r="V122" i="12"/>
  <c r="V114" i="12"/>
  <c r="V106" i="12"/>
  <c r="V98" i="12"/>
  <c r="V90" i="12"/>
  <c r="V82" i="12"/>
  <c r="V133" i="12"/>
  <c r="V109" i="12"/>
  <c r="V93" i="12"/>
  <c r="V117" i="12"/>
  <c r="V101" i="12"/>
  <c r="Z12" i="12"/>
  <c r="V181" i="12"/>
  <c r="V161" i="12"/>
  <c r="V189" i="12"/>
  <c r="V149" i="12"/>
  <c r="V91" i="12"/>
  <c r="V85" i="12"/>
  <c r="V201" i="12"/>
  <c r="V83" i="12"/>
  <c r="V193" i="12"/>
  <c r="V185" i="12"/>
  <c r="V145" i="12"/>
  <c r="V223" i="12"/>
  <c r="V173" i="12"/>
  <c r="J237" i="18"/>
  <c r="J227" i="18"/>
  <c r="J217" i="18"/>
  <c r="J209" i="18"/>
  <c r="J205" i="18"/>
  <c r="J201" i="18"/>
  <c r="J195" i="18"/>
  <c r="J189" i="18"/>
  <c r="J183" i="18"/>
  <c r="J177" i="18"/>
  <c r="J171" i="18"/>
  <c r="J165" i="18"/>
  <c r="J153" i="18"/>
  <c r="J147" i="18"/>
  <c r="J137" i="18"/>
  <c r="J129" i="18"/>
  <c r="J121" i="18"/>
  <c r="J113" i="18"/>
  <c r="J105" i="18"/>
  <c r="J97" i="18"/>
  <c r="J246" i="18"/>
  <c r="J240" i="18"/>
  <c r="J200" i="18"/>
  <c r="J180" i="18"/>
  <c r="J164" i="18"/>
  <c r="J158" i="18"/>
  <c r="J152" i="18"/>
  <c r="J144" i="18"/>
  <c r="J136" i="18"/>
  <c r="J128" i="18"/>
  <c r="J120" i="18"/>
  <c r="J112" i="18"/>
  <c r="J104" i="18"/>
  <c r="J96" i="18"/>
  <c r="J233" i="18"/>
  <c r="J229" i="18"/>
  <c r="J223" i="18"/>
  <c r="J213" i="18"/>
  <c r="J197" i="18"/>
  <c r="J191" i="18"/>
  <c r="J185" i="18"/>
  <c r="J173" i="18"/>
  <c r="J167" i="18"/>
  <c r="J163" i="18"/>
  <c r="J151" i="18"/>
  <c r="H144" i="18"/>
  <c r="J135" i="18"/>
  <c r="J127" i="18"/>
  <c r="J119" i="18"/>
  <c r="J241" i="18"/>
  <c r="J225" i="18"/>
  <c r="J221" i="18"/>
  <c r="J199" i="18"/>
  <c r="J193" i="18"/>
  <c r="J179" i="18"/>
  <c r="J169" i="18"/>
  <c r="J161" i="18"/>
  <c r="J157" i="18"/>
  <c r="J149" i="18"/>
  <c r="J141" i="18"/>
  <c r="J133" i="18"/>
  <c r="J125" i="18"/>
  <c r="J117" i="18"/>
  <c r="J109" i="18"/>
  <c r="J101" i="18"/>
  <c r="J236" i="18"/>
  <c r="J232" i="18"/>
  <c r="J228" i="18"/>
  <c r="J220" i="18"/>
  <c r="J212" i="18"/>
  <c r="J196" i="18"/>
  <c r="J190" i="18"/>
  <c r="J184" i="18"/>
  <c r="J172" i="18"/>
  <c r="J166" i="18"/>
  <c r="J160" i="18"/>
  <c r="J156" i="18"/>
  <c r="J148" i="18"/>
  <c r="J146" i="18"/>
  <c r="J140" i="18"/>
  <c r="J132" i="18"/>
  <c r="J124" i="18"/>
  <c r="J116" i="18"/>
  <c r="J108" i="18"/>
  <c r="J100" i="18"/>
  <c r="J239" i="18"/>
  <c r="J231" i="18"/>
  <c r="J219" i="18"/>
  <c r="J215" i="18"/>
  <c r="J211" i="18"/>
  <c r="J207" i="18"/>
  <c r="J203" i="18"/>
  <c r="J187" i="18"/>
  <c r="J181" i="18"/>
  <c r="J175" i="18"/>
  <c r="J159" i="18"/>
  <c r="J155" i="18"/>
  <c r="J139" i="18"/>
  <c r="J242" i="18"/>
  <c r="J234" i="18"/>
  <c r="J230" i="18"/>
  <c r="J224" i="18"/>
  <c r="J218" i="18"/>
  <c r="J214" i="18"/>
  <c r="J210" i="18"/>
  <c r="J206" i="18"/>
  <c r="J202" i="18"/>
  <c r="J198" i="18"/>
  <c r="J192" i="18"/>
  <c r="J186" i="18"/>
  <c r="J178" i="18"/>
  <c r="J174" i="18"/>
  <c r="J168" i="18"/>
  <c r="J154" i="18"/>
  <c r="J138" i="18"/>
  <c r="J130" i="18"/>
  <c r="J122" i="18"/>
  <c r="J114" i="18"/>
  <c r="J106" i="18"/>
  <c r="J98" i="18"/>
  <c r="J176" i="18"/>
  <c r="J134" i="18"/>
  <c r="J111" i="18"/>
  <c r="J93" i="18"/>
  <c r="J222" i="18"/>
  <c r="J182" i="18"/>
  <c r="J142" i="18"/>
  <c r="J208" i="18"/>
  <c r="J126" i="18"/>
  <c r="J123" i="18"/>
  <c r="J94" i="18"/>
  <c r="J216" i="18"/>
  <c r="J188" i="18"/>
  <c r="J102" i="18"/>
  <c r="J95" i="18"/>
  <c r="J226" i="18"/>
  <c r="J150" i="18"/>
  <c r="J118" i="18"/>
  <c r="J110" i="18"/>
  <c r="N12" i="18"/>
  <c r="J170" i="18"/>
  <c r="J162" i="18"/>
  <c r="J103" i="18"/>
  <c r="J99" i="18"/>
  <c r="J238" i="18"/>
  <c r="J204" i="18"/>
  <c r="J131" i="18"/>
  <c r="J107" i="18"/>
  <c r="J115" i="18"/>
  <c r="J194" i="18"/>
  <c r="P27" i="14"/>
  <c r="X18" i="14"/>
  <c r="D36" i="16"/>
  <c r="Z16" i="9"/>
  <c r="T89" i="9"/>
  <c r="D36" i="13"/>
  <c r="J225" i="12"/>
  <c r="J193" i="12"/>
  <c r="J189" i="12"/>
  <c r="J185" i="12"/>
  <c r="J179" i="12"/>
  <c r="J173" i="12"/>
  <c r="J167" i="12"/>
  <c r="J155" i="12"/>
  <c r="J149" i="12"/>
  <c r="J145" i="12"/>
  <c r="J133" i="12"/>
  <c r="H126" i="12"/>
  <c r="J117" i="12"/>
  <c r="J109" i="12"/>
  <c r="J101" i="12"/>
  <c r="J93" i="12"/>
  <c r="J85" i="12"/>
  <c r="J218" i="12"/>
  <c r="J214" i="12"/>
  <c r="J208" i="12"/>
  <c r="J198" i="12"/>
  <c r="J184" i="12"/>
  <c r="J170" i="12"/>
  <c r="J164" i="12"/>
  <c r="J158" i="12"/>
  <c r="J152" i="12"/>
  <c r="J144" i="12"/>
  <c r="J132" i="12"/>
  <c r="J124" i="12"/>
  <c r="J116" i="12"/>
  <c r="J108" i="12"/>
  <c r="J100" i="12"/>
  <c r="J92" i="12"/>
  <c r="J84" i="12"/>
  <c r="J229" i="12"/>
  <c r="J223" i="12"/>
  <c r="J211" i="12"/>
  <c r="J207" i="12"/>
  <c r="J201" i="12"/>
  <c r="J181" i="12"/>
  <c r="J175" i="12"/>
  <c r="J161" i="12"/>
  <c r="J151" i="12"/>
  <c r="J143" i="12"/>
  <c r="J139" i="12"/>
  <c r="J131" i="12"/>
  <c r="J123" i="12"/>
  <c r="J115" i="12"/>
  <c r="J107" i="12"/>
  <c r="J99" i="12"/>
  <c r="J91" i="12"/>
  <c r="J83" i="12"/>
  <c r="J210" i="12"/>
  <c r="J206" i="12"/>
  <c r="J192" i="12"/>
  <c r="J188" i="12"/>
  <c r="J178" i="12"/>
  <c r="J172" i="12"/>
  <c r="J166" i="12"/>
  <c r="J154" i="12"/>
  <c r="J148" i="12"/>
  <c r="J142" i="12"/>
  <c r="J138" i="12"/>
  <c r="J130" i="12"/>
  <c r="J128" i="12"/>
  <c r="J122" i="12"/>
  <c r="J114" i="12"/>
  <c r="J106" i="12"/>
  <c r="J98" i="12"/>
  <c r="J90" i="12"/>
  <c r="J224" i="12"/>
  <c r="J216" i="12"/>
  <c r="J204" i="12"/>
  <c r="J200" i="12"/>
  <c r="J196" i="12"/>
  <c r="J180" i="12"/>
  <c r="J174" i="12"/>
  <c r="J168" i="12"/>
  <c r="J160" i="12"/>
  <c r="J156" i="12"/>
  <c r="J150" i="12"/>
  <c r="J136" i="12"/>
  <c r="J120" i="12"/>
  <c r="J112" i="12"/>
  <c r="J104" i="12"/>
  <c r="J96" i="12"/>
  <c r="J88" i="12"/>
  <c r="J82" i="12"/>
  <c r="J219" i="12"/>
  <c r="J215" i="12"/>
  <c r="J209" i="12"/>
  <c r="J203" i="12"/>
  <c r="J199" i="12"/>
  <c r="J195" i="12"/>
  <c r="J191" i="12"/>
  <c r="J187" i="12"/>
  <c r="J171" i="12"/>
  <c r="J165" i="12"/>
  <c r="J159" i="12"/>
  <c r="J153" i="12"/>
  <c r="J147" i="12"/>
  <c r="J135" i="12"/>
  <c r="J129" i="12"/>
  <c r="J119" i="12"/>
  <c r="J111" i="12"/>
  <c r="J103" i="12"/>
  <c r="J222" i="12"/>
  <c r="J212" i="12"/>
  <c r="J202" i="12"/>
  <c r="J194" i="12"/>
  <c r="J190" i="12"/>
  <c r="J186" i="12"/>
  <c r="J182" i="12"/>
  <c r="J176" i="12"/>
  <c r="J162" i="12"/>
  <c r="J146" i="12"/>
  <c r="J140" i="12"/>
  <c r="J134" i="12"/>
  <c r="J126" i="12"/>
  <c r="J118" i="12"/>
  <c r="J110" i="12"/>
  <c r="J102" i="12"/>
  <c r="J94" i="12"/>
  <c r="J86" i="12"/>
  <c r="J217" i="12"/>
  <c r="J205" i="12"/>
  <c r="J169" i="12"/>
  <c r="J163" i="12"/>
  <c r="J177" i="12"/>
  <c r="J157" i="12"/>
  <c r="J121" i="12"/>
  <c r="J221" i="12"/>
  <c r="J213" i="12"/>
  <c r="J183" i="12"/>
  <c r="J141" i="12"/>
  <c r="J87" i="12"/>
  <c r="J97" i="12"/>
  <c r="N12" i="12"/>
  <c r="J197" i="12"/>
  <c r="J137" i="12"/>
  <c r="J113" i="12"/>
  <c r="J105" i="12"/>
  <c r="J95" i="12"/>
  <c r="J89" i="12"/>
  <c r="H93" i="9"/>
  <c r="H31" i="11"/>
  <c r="N27" i="11"/>
  <c r="H26" i="6"/>
  <c r="N22" i="6"/>
  <c r="Z31" i="35" l="1"/>
  <c r="N27" i="23"/>
  <c r="H31" i="23"/>
  <c r="T36" i="38"/>
  <c r="Z36" i="38" s="1"/>
  <c r="Z31" i="38"/>
  <c r="D51" i="74"/>
  <c r="L48" i="74"/>
  <c r="X47" i="77"/>
  <c r="P108" i="77"/>
  <c r="L27" i="22"/>
  <c r="D31" i="22"/>
  <c r="L81" i="31"/>
  <c r="D85" i="31"/>
  <c r="F81" i="31"/>
  <c r="P36" i="38"/>
  <c r="X31" i="38"/>
  <c r="T31" i="54"/>
  <c r="Z26" i="54"/>
  <c r="D96" i="51"/>
  <c r="L50" i="51"/>
  <c r="L47" i="77"/>
  <c r="N47" i="77" s="1"/>
  <c r="D108" i="77"/>
  <c r="T38" i="84"/>
  <c r="V34" i="84"/>
  <c r="P42" i="83"/>
  <c r="X38" i="83"/>
  <c r="Z38" i="83" s="1"/>
  <c r="H65" i="57"/>
  <c r="N61" i="57"/>
  <c r="D36" i="27"/>
  <c r="T85" i="95"/>
  <c r="Z27" i="16"/>
  <c r="T31" i="16"/>
  <c r="D31" i="20"/>
  <c r="L27" i="20"/>
  <c r="H81" i="31"/>
  <c r="N31" i="39"/>
  <c r="H112" i="39"/>
  <c r="N27" i="52"/>
  <c r="H31" i="52"/>
  <c r="N29" i="70"/>
  <c r="H78" i="70"/>
  <c r="T37" i="82"/>
  <c r="L27" i="10"/>
  <c r="D31" i="10"/>
  <c r="X165" i="34"/>
  <c r="P169" i="34"/>
  <c r="R165" i="34"/>
  <c r="D36" i="30"/>
  <c r="H165" i="34"/>
  <c r="T31" i="32"/>
  <c r="X31" i="32" s="1"/>
  <c r="Z27" i="32"/>
  <c r="D36" i="47"/>
  <c r="P36" i="75"/>
  <c r="R33" i="75"/>
  <c r="D34" i="89"/>
  <c r="L30" i="89"/>
  <c r="L27" i="5"/>
  <c r="D31" i="5"/>
  <c r="H36" i="35"/>
  <c r="N36" i="35" s="1"/>
  <c r="N31" i="35"/>
  <c r="L23" i="42"/>
  <c r="D102" i="42"/>
  <c r="N27" i="41"/>
  <c r="H31" i="41"/>
  <c r="L27" i="41"/>
  <c r="T52" i="91"/>
  <c r="H45" i="83"/>
  <c r="N42" i="83"/>
  <c r="P36" i="4"/>
  <c r="X27" i="10"/>
  <c r="P31" i="10"/>
  <c r="T160" i="28"/>
  <c r="L27" i="23"/>
  <c r="D31" i="23"/>
  <c r="D36" i="53"/>
  <c r="L31" i="53"/>
  <c r="P52" i="91"/>
  <c r="X48" i="91"/>
  <c r="Z48" i="91" s="1"/>
  <c r="T31" i="100"/>
  <c r="Z27" i="100"/>
  <c r="X126" i="12"/>
  <c r="P227" i="12"/>
  <c r="H91" i="45"/>
  <c r="H31" i="46"/>
  <c r="N27" i="46"/>
  <c r="L27" i="46"/>
  <c r="P63" i="59"/>
  <c r="P78" i="76"/>
  <c r="X74" i="76"/>
  <c r="Z74" i="76" s="1"/>
  <c r="R74" i="76"/>
  <c r="D142" i="69"/>
  <c r="L83" i="69"/>
  <c r="F83" i="69"/>
  <c r="T26" i="6"/>
  <c r="Z22" i="6"/>
  <c r="T81" i="31"/>
  <c r="Z31" i="31"/>
  <c r="V31" i="31"/>
  <c r="T82" i="64"/>
  <c r="V39" i="64"/>
  <c r="P37" i="89"/>
  <c r="Z27" i="98"/>
  <c r="T31" i="98"/>
  <c r="L83" i="28"/>
  <c r="N83" i="28" s="1"/>
  <c r="D160" i="28"/>
  <c r="T36" i="29"/>
  <c r="Z36" i="29" s="1"/>
  <c r="Z31" i="29"/>
  <c r="H106" i="62"/>
  <c r="N27" i="98"/>
  <c r="H31" i="98"/>
  <c r="L31" i="98" s="1"/>
  <c r="Z27" i="52"/>
  <c r="T31" i="52"/>
  <c r="X31" i="52" s="1"/>
  <c r="P31" i="98"/>
  <c r="X27" i="98"/>
  <c r="X27" i="17"/>
  <c r="P31" i="17"/>
  <c r="H36" i="11"/>
  <c r="N36" i="11" s="1"/>
  <c r="N31" i="11"/>
  <c r="T93" i="9"/>
  <c r="H227" i="12"/>
  <c r="H244" i="18"/>
  <c r="Z27" i="33"/>
  <c r="T31" i="33"/>
  <c r="Z27" i="43"/>
  <c r="T31" i="43"/>
  <c r="X27" i="43"/>
  <c r="H72" i="56"/>
  <c r="L45" i="83"/>
  <c r="P52" i="61"/>
  <c r="D219" i="15"/>
  <c r="L121" i="15"/>
  <c r="H160" i="28"/>
  <c r="J83" i="28"/>
  <c r="T36" i="47"/>
  <c r="Z36" i="47" s="1"/>
  <c r="Z31" i="47"/>
  <c r="L27" i="40"/>
  <c r="D31" i="40"/>
  <c r="T67" i="48"/>
  <c r="V63" i="48"/>
  <c r="H33" i="75"/>
  <c r="J29" i="75"/>
  <c r="D41" i="84"/>
  <c r="L38" i="84"/>
  <c r="T266" i="3"/>
  <c r="V262" i="3"/>
  <c r="H88" i="21"/>
  <c r="N27" i="50"/>
  <c r="H31" i="50"/>
  <c r="L50" i="71"/>
  <c r="N50" i="71" s="1"/>
  <c r="D96" i="71"/>
  <c r="F50" i="71"/>
  <c r="T63" i="97"/>
  <c r="Z17" i="97"/>
  <c r="Z27" i="17"/>
  <c r="T31" i="17"/>
  <c r="H36" i="26"/>
  <c r="N36" i="26" s="1"/>
  <c r="N31" i="26"/>
  <c r="Z27" i="37"/>
  <c r="T31" i="37"/>
  <c r="X27" i="37"/>
  <c r="T119" i="66"/>
  <c r="V115" i="66"/>
  <c r="T142" i="69"/>
  <c r="Z83" i="69"/>
  <c r="P85" i="79"/>
  <c r="R81" i="79"/>
  <c r="H51" i="90"/>
  <c r="N47" i="90"/>
  <c r="P93" i="9"/>
  <c r="X89" i="9"/>
  <c r="Z89" i="9" s="1"/>
  <c r="Z27" i="14"/>
  <c r="T31" i="14"/>
  <c r="P219" i="15"/>
  <c r="X121" i="15"/>
  <c r="P114" i="36"/>
  <c r="X110" i="36"/>
  <c r="R110" i="36"/>
  <c r="T95" i="45"/>
  <c r="Z91" i="45"/>
  <c r="V91" i="45"/>
  <c r="D50" i="60"/>
  <c r="L46" i="60"/>
  <c r="P76" i="81"/>
  <c r="X72" i="81"/>
  <c r="Z72" i="81" s="1"/>
  <c r="P67" i="97"/>
  <c r="R63" i="97"/>
  <c r="X27" i="16"/>
  <c r="P31" i="16"/>
  <c r="T116" i="39"/>
  <c r="V112" i="39"/>
  <c r="Z27" i="46"/>
  <c r="T31" i="46"/>
  <c r="X27" i="52"/>
  <c r="H108" i="77"/>
  <c r="J47" i="77"/>
  <c r="H36" i="88"/>
  <c r="D93" i="9"/>
  <c r="L89" i="9"/>
  <c r="N89" i="9" s="1"/>
  <c r="P31" i="33"/>
  <c r="X27" i="33"/>
  <c r="X27" i="30"/>
  <c r="P31" i="30"/>
  <c r="D31" i="49"/>
  <c r="L27" i="49"/>
  <c r="F50" i="51"/>
  <c r="D34" i="55"/>
  <c r="L30" i="55"/>
  <c r="N30" i="55" s="1"/>
  <c r="H79" i="81"/>
  <c r="X27" i="29"/>
  <c r="P31" i="29"/>
  <c r="P96" i="51"/>
  <c r="X50" i="51"/>
  <c r="Z50" i="51" s="1"/>
  <c r="D39" i="80"/>
  <c r="D51" i="65"/>
  <c r="L51" i="65" s="1"/>
  <c r="N51" i="65" s="1"/>
  <c r="L48" i="65"/>
  <c r="N48" i="65" s="1"/>
  <c r="T28" i="96"/>
  <c r="D36" i="38"/>
  <c r="X27" i="13"/>
  <c r="P31" i="13"/>
  <c r="T65" i="57"/>
  <c r="Z61" i="57"/>
  <c r="P70" i="86"/>
  <c r="X66" i="86"/>
  <c r="Z17" i="87"/>
  <c r="T25" i="87"/>
  <c r="L144" i="18"/>
  <c r="N144" i="18" s="1"/>
  <c r="D244" i="18"/>
  <c r="P31" i="23"/>
  <c r="X27" i="23"/>
  <c r="P160" i="28"/>
  <c r="X83" i="28"/>
  <c r="Z83" i="28" s="1"/>
  <c r="X27" i="46"/>
  <c r="P31" i="46"/>
  <c r="T48" i="65"/>
  <c r="T78" i="76"/>
  <c r="N26" i="93"/>
  <c r="H30" i="93"/>
  <c r="T115" i="25"/>
  <c r="H36" i="53"/>
  <c r="N36" i="53" s="1"/>
  <c r="N31" i="53"/>
  <c r="H40" i="82"/>
  <c r="L28" i="96"/>
  <c r="D31" i="96"/>
  <c r="X20" i="78"/>
  <c r="P30" i="78"/>
  <c r="F23" i="42"/>
  <c r="D67" i="48"/>
  <c r="F63" i="48"/>
  <c r="T34" i="55"/>
  <c r="Z30" i="55"/>
  <c r="T69" i="56"/>
  <c r="Z65" i="56"/>
  <c r="H82" i="64"/>
  <c r="P48" i="74"/>
  <c r="X44" i="74"/>
  <c r="Z44" i="74" s="1"/>
  <c r="D36" i="88"/>
  <c r="L32" i="88"/>
  <c r="N32" i="88" s="1"/>
  <c r="H88" i="95"/>
  <c r="Z27" i="99"/>
  <c r="T31" i="99"/>
  <c r="X31" i="99" s="1"/>
  <c r="T51" i="90"/>
  <c r="L126" i="12"/>
  <c r="N126" i="12" s="1"/>
  <c r="D227" i="12"/>
  <c r="P67" i="48"/>
  <c r="X63" i="48"/>
  <c r="Z63" i="48" s="1"/>
  <c r="R63" i="48"/>
  <c r="P34" i="55"/>
  <c r="X30" i="55"/>
  <c r="T71" i="73"/>
  <c r="V67" i="73"/>
  <c r="H52" i="91"/>
  <c r="X17" i="97"/>
  <c r="D85" i="95"/>
  <c r="L81" i="95"/>
  <c r="N81" i="95" s="1"/>
  <c r="F81" i="95"/>
  <c r="H31" i="27"/>
  <c r="N27" i="27"/>
  <c r="H115" i="25"/>
  <c r="P36" i="52"/>
  <c r="T51" i="74"/>
  <c r="D31" i="100"/>
  <c r="L27" i="100"/>
  <c r="D78" i="76"/>
  <c r="L74" i="76"/>
  <c r="F74" i="76"/>
  <c r="D91" i="45"/>
  <c r="L21" i="45"/>
  <c r="N21" i="45" s="1"/>
  <c r="D65" i="57"/>
  <c r="L61" i="57"/>
  <c r="N34" i="84"/>
  <c r="H38" i="84"/>
  <c r="H25" i="87"/>
  <c r="T34" i="89"/>
  <c r="Z30" i="89"/>
  <c r="P75" i="58"/>
  <c r="X75" i="58" s="1"/>
  <c r="X72" i="58"/>
  <c r="H72" i="58"/>
  <c r="N68" i="58"/>
  <c r="T53" i="60"/>
  <c r="H31" i="19"/>
  <c r="N27" i="19"/>
  <c r="L27" i="19"/>
  <c r="N23" i="42"/>
  <c r="H102" i="42"/>
  <c r="D114" i="36"/>
  <c r="F110" i="36"/>
  <c r="H96" i="9"/>
  <c r="P31" i="26"/>
  <c r="X27" i="26"/>
  <c r="P68" i="57"/>
  <c r="X65" i="57"/>
  <c r="H100" i="71"/>
  <c r="J96" i="71"/>
  <c r="P78" i="70"/>
  <c r="X29" i="70"/>
  <c r="D79" i="92"/>
  <c r="L21" i="92"/>
  <c r="P36" i="32"/>
  <c r="T36" i="7"/>
  <c r="Z36" i="7" s="1"/>
  <c r="Z31" i="7"/>
  <c r="P92" i="21"/>
  <c r="X88" i="21"/>
  <c r="R88" i="21"/>
  <c r="D31" i="37"/>
  <c r="L27" i="37"/>
  <c r="X27" i="11"/>
  <c r="P31" i="11"/>
  <c r="Z27" i="13"/>
  <c r="T31" i="13"/>
  <c r="T31" i="20"/>
  <c r="Z27" i="20"/>
  <c r="P103" i="62"/>
  <c r="X99" i="62"/>
  <c r="T100" i="71"/>
  <c r="V96" i="71"/>
  <c r="H70" i="86"/>
  <c r="P248" i="18"/>
  <c r="R244" i="18"/>
  <c r="H31" i="13"/>
  <c r="N27" i="13"/>
  <c r="L27" i="13"/>
  <c r="Z27" i="26"/>
  <c r="T31" i="26"/>
  <c r="X65" i="56"/>
  <c r="D67" i="73"/>
  <c r="L20" i="73"/>
  <c r="N20" i="73" s="1"/>
  <c r="T83" i="92"/>
  <c r="V79" i="92"/>
  <c r="D262" i="3"/>
  <c r="L153" i="3"/>
  <c r="F153" i="3"/>
  <c r="L27" i="4"/>
  <c r="D31" i="4"/>
  <c r="F126" i="12"/>
  <c r="P26" i="6"/>
  <c r="X22" i="6"/>
  <c r="N27" i="4"/>
  <c r="H31" i="4"/>
  <c r="Z27" i="4"/>
  <c r="T31" i="4"/>
  <c r="Z144" i="18"/>
  <c r="T244" i="18"/>
  <c r="P31" i="35"/>
  <c r="X27" i="35"/>
  <c r="J23" i="42"/>
  <c r="T31" i="49"/>
  <c r="Z27" i="49"/>
  <c r="T76" i="81"/>
  <c r="N27" i="100"/>
  <c r="H31" i="100"/>
  <c r="P36" i="99"/>
  <c r="R126" i="12"/>
  <c r="D31" i="11"/>
  <c r="L27" i="11"/>
  <c r="H36" i="22"/>
  <c r="N36" i="22" s="1"/>
  <c r="N31" i="22"/>
  <c r="H31" i="43"/>
  <c r="N27" i="43"/>
  <c r="P31" i="49"/>
  <c r="X27" i="49"/>
  <c r="D75" i="58"/>
  <c r="L72" i="58"/>
  <c r="T36" i="88"/>
  <c r="X36" i="88" s="1"/>
  <c r="Z32" i="88"/>
  <c r="Z27" i="19"/>
  <c r="T31" i="19"/>
  <c r="Z27" i="41"/>
  <c r="T31" i="41"/>
  <c r="H50" i="60"/>
  <c r="N46" i="60"/>
  <c r="F47" i="77"/>
  <c r="D63" i="97"/>
  <c r="L17" i="97"/>
  <c r="N17" i="97" s="1"/>
  <c r="D165" i="34"/>
  <c r="L85" i="34"/>
  <c r="N85" i="34" s="1"/>
  <c r="F85" i="34"/>
  <c r="T78" i="70"/>
  <c r="Z29" i="70"/>
  <c r="N44" i="74"/>
  <c r="H48" i="74"/>
  <c r="L27" i="52"/>
  <c r="D31" i="52"/>
  <c r="D85" i="79"/>
  <c r="L81" i="79"/>
  <c r="F81" i="79"/>
  <c r="H36" i="14"/>
  <c r="N36" i="14" s="1"/>
  <c r="N31" i="14"/>
  <c r="X31" i="39"/>
  <c r="Z31" i="39" s="1"/>
  <c r="P112" i="39"/>
  <c r="T227" i="12"/>
  <c r="Z126" i="12"/>
  <c r="L21" i="67"/>
  <c r="D50" i="67"/>
  <c r="Z20" i="78"/>
  <c r="T30" i="78"/>
  <c r="X17" i="84"/>
  <c r="Z17" i="84" s="1"/>
  <c r="P34" i="84"/>
  <c r="P83" i="92"/>
  <c r="X79" i="92"/>
  <c r="Z79" i="92" s="1"/>
  <c r="R79" i="92"/>
  <c r="T60" i="59"/>
  <c r="Z56" i="59"/>
  <c r="D76" i="81"/>
  <c r="L72" i="81"/>
  <c r="N72" i="81" s="1"/>
  <c r="X27" i="100"/>
  <c r="P31" i="100"/>
  <c r="P31" i="40"/>
  <c r="X27" i="40"/>
  <c r="D69" i="56"/>
  <c r="L65" i="56"/>
  <c r="N65" i="56" s="1"/>
  <c r="H31" i="99"/>
  <c r="L31" i="99" s="1"/>
  <c r="N27" i="99"/>
  <c r="D49" i="61"/>
  <c r="L45" i="61"/>
  <c r="N45" i="61" s="1"/>
  <c r="P72" i="56"/>
  <c r="X69" i="56"/>
  <c r="X21" i="67"/>
  <c r="P50" i="67"/>
  <c r="D87" i="85"/>
  <c r="L83" i="85"/>
  <c r="F83" i="85"/>
  <c r="D51" i="90"/>
  <c r="L47" i="90"/>
  <c r="F47" i="90"/>
  <c r="T31" i="44"/>
  <c r="Z27" i="44"/>
  <c r="X24" i="96"/>
  <c r="Z24" i="96" s="1"/>
  <c r="D88" i="21"/>
  <c r="L27" i="21"/>
  <c r="N27" i="21" s="1"/>
  <c r="Z27" i="27"/>
  <c r="T31" i="27"/>
  <c r="P39" i="88"/>
  <c r="D52" i="91"/>
  <c r="L48" i="91"/>
  <c r="N48" i="91" s="1"/>
  <c r="X27" i="99"/>
  <c r="P36" i="5"/>
  <c r="Z27" i="23"/>
  <c r="T31" i="23"/>
  <c r="T110" i="36"/>
  <c r="Z24" i="36"/>
  <c r="L27" i="33"/>
  <c r="D31" i="33"/>
  <c r="P142" i="69"/>
  <c r="X83" i="69"/>
  <c r="T106" i="42"/>
  <c r="V102" i="42"/>
  <c r="D37" i="82"/>
  <c r="L33" i="82"/>
  <c r="N33" i="82" s="1"/>
  <c r="Z27" i="11"/>
  <c r="T31" i="11"/>
  <c r="P115" i="25"/>
  <c r="X57" i="25"/>
  <c r="Z57" i="25" s="1"/>
  <c r="X27" i="24"/>
  <c r="P31" i="24"/>
  <c r="P102" i="42"/>
  <c r="X23" i="42"/>
  <c r="Z23" i="42" s="1"/>
  <c r="R23" i="42"/>
  <c r="H31" i="38"/>
  <c r="N27" i="38"/>
  <c r="X27" i="47"/>
  <c r="P31" i="47"/>
  <c r="P31" i="50"/>
  <c r="X27" i="50"/>
  <c r="Z66" i="86"/>
  <c r="T70" i="86"/>
  <c r="X83" i="85"/>
  <c r="Z83" i="85" s="1"/>
  <c r="P87" i="85"/>
  <c r="R83" i="85"/>
  <c r="H36" i="20"/>
  <c r="N36" i="20" s="1"/>
  <c r="N31" i="20"/>
  <c r="H54" i="67"/>
  <c r="V29" i="70"/>
  <c r="Z26" i="93"/>
  <c r="T30" i="93"/>
  <c r="P85" i="95"/>
  <c r="X81" i="95"/>
  <c r="Z81" i="95" s="1"/>
  <c r="R81" i="95"/>
  <c r="H31" i="5"/>
  <c r="N27" i="5"/>
  <c r="X27" i="14"/>
  <c r="P31" i="14"/>
  <c r="X27" i="19"/>
  <c r="P31" i="19"/>
  <c r="P29" i="87"/>
  <c r="X25" i="87"/>
  <c r="X31" i="31"/>
  <c r="P81" i="31"/>
  <c r="P36" i="8"/>
  <c r="H219" i="15"/>
  <c r="N121" i="15"/>
  <c r="Z165" i="34"/>
  <c r="T169" i="34"/>
  <c r="V165" i="34"/>
  <c r="D31" i="32"/>
  <c r="L27" i="32"/>
  <c r="H37" i="55"/>
  <c r="H36" i="80"/>
  <c r="N32" i="80"/>
  <c r="T81" i="79"/>
  <c r="Z20" i="79"/>
  <c r="D70" i="86"/>
  <c r="L66" i="86"/>
  <c r="N66" i="86" s="1"/>
  <c r="T84" i="94"/>
  <c r="Z21" i="94"/>
  <c r="P71" i="73"/>
  <c r="X67" i="73"/>
  <c r="Z67" i="73" s="1"/>
  <c r="H36" i="17"/>
  <c r="N36" i="17" s="1"/>
  <c r="N31" i="17"/>
  <c r="L27" i="26"/>
  <c r="D31" i="26"/>
  <c r="T36" i="40"/>
  <c r="Z36" i="40" s="1"/>
  <c r="Z31" i="40"/>
  <c r="T103" i="62"/>
  <c r="Z99" i="62"/>
  <c r="L57" i="66"/>
  <c r="D115" i="66"/>
  <c r="H71" i="73"/>
  <c r="H83" i="85"/>
  <c r="X30" i="93"/>
  <c r="P33" i="93"/>
  <c r="Z27" i="10"/>
  <c r="T31" i="10"/>
  <c r="P36" i="22"/>
  <c r="H31" i="16"/>
  <c r="N27" i="16"/>
  <c r="L27" i="16"/>
  <c r="L27" i="50"/>
  <c r="D31" i="50"/>
  <c r="D82" i="64"/>
  <c r="L39" i="64"/>
  <c r="N39" i="64" s="1"/>
  <c r="N74" i="76"/>
  <c r="H78" i="76"/>
  <c r="T108" i="77"/>
  <c r="Z47" i="77"/>
  <c r="L20" i="85"/>
  <c r="N20" i="85" s="1"/>
  <c r="P31" i="96"/>
  <c r="X28" i="96"/>
  <c r="L27" i="8"/>
  <c r="D31" i="8"/>
  <c r="N27" i="8"/>
  <c r="H31" i="8"/>
  <c r="Z27" i="8"/>
  <c r="T31" i="8"/>
  <c r="X31" i="8" s="1"/>
  <c r="H31" i="29"/>
  <c r="N27" i="29"/>
  <c r="L27" i="29"/>
  <c r="D31" i="29"/>
  <c r="N27" i="49"/>
  <c r="H31" i="49"/>
  <c r="P82" i="64"/>
  <c r="X39" i="64"/>
  <c r="Z39" i="64" s="1"/>
  <c r="D82" i="70"/>
  <c r="L78" i="70"/>
  <c r="F78" i="70"/>
  <c r="L30" i="78"/>
  <c r="D34" i="78"/>
  <c r="X51" i="90"/>
  <c r="P54" i="90"/>
  <c r="R51" i="90"/>
  <c r="D36" i="98"/>
  <c r="R31" i="39"/>
  <c r="H31" i="30"/>
  <c r="N27" i="30"/>
  <c r="X27" i="27"/>
  <c r="P31" i="27"/>
  <c r="P95" i="45"/>
  <c r="X91" i="45"/>
  <c r="R91" i="45"/>
  <c r="Z27" i="53"/>
  <c r="T31" i="53"/>
  <c r="L26" i="93"/>
  <c r="D30" i="93"/>
  <c r="H63" i="48"/>
  <c r="L63" i="48" s="1"/>
  <c r="N17" i="48"/>
  <c r="T92" i="21"/>
  <c r="Z88" i="21"/>
  <c r="V88" i="21"/>
  <c r="H36" i="40"/>
  <c r="N36" i="40" s="1"/>
  <c r="N31" i="40"/>
  <c r="T50" i="67"/>
  <c r="Z21" i="67"/>
  <c r="D29" i="75"/>
  <c r="L23" i="75"/>
  <c r="N23" i="75" s="1"/>
  <c r="T87" i="85"/>
  <c r="V83" i="85"/>
  <c r="X27" i="44"/>
  <c r="P31" i="44"/>
  <c r="N30" i="78"/>
  <c r="H34" i="78"/>
  <c r="H79" i="92"/>
  <c r="N21" i="92"/>
  <c r="P50" i="60"/>
  <c r="X46" i="60"/>
  <c r="Z46" i="60" s="1"/>
  <c r="P115" i="66"/>
  <c r="X57" i="66"/>
  <c r="Z57" i="66" s="1"/>
  <c r="H67" i="97"/>
  <c r="J63" i="97"/>
  <c r="P31" i="53"/>
  <c r="X27" i="53"/>
  <c r="Z27" i="50"/>
  <c r="T31" i="50"/>
  <c r="D88" i="94"/>
  <c r="F84" i="94"/>
  <c r="T31" i="22"/>
  <c r="Z27" i="22"/>
  <c r="P26" i="54"/>
  <c r="X22" i="54"/>
  <c r="H52" i="61"/>
  <c r="N26" i="6"/>
  <c r="H31" i="6"/>
  <c r="Z121" i="15"/>
  <c r="T219" i="15"/>
  <c r="F83" i="28"/>
  <c r="D115" i="25"/>
  <c r="L57" i="25"/>
  <c r="N57" i="25" s="1"/>
  <c r="H31" i="37"/>
  <c r="N27" i="37"/>
  <c r="V20" i="78"/>
  <c r="X84" i="94"/>
  <c r="P88" i="94"/>
  <c r="R84" i="94"/>
  <c r="J121" i="15"/>
  <c r="X27" i="20"/>
  <c r="P31" i="20"/>
  <c r="J31" i="31"/>
  <c r="X27" i="41"/>
  <c r="P31" i="41"/>
  <c r="D103" i="62"/>
  <c r="L99" i="62"/>
  <c r="N99" i="62" s="1"/>
  <c r="T29" i="75"/>
  <c r="Z23" i="75"/>
  <c r="X23" i="75"/>
  <c r="L32" i="80"/>
  <c r="X32" i="80"/>
  <c r="Z32" i="80" s="1"/>
  <c r="P36" i="80"/>
  <c r="N27" i="7"/>
  <c r="H31" i="7"/>
  <c r="L31" i="7" s="1"/>
  <c r="D31" i="17"/>
  <c r="L27" i="17"/>
  <c r="F57" i="66"/>
  <c r="H31" i="44"/>
  <c r="N27" i="44"/>
  <c r="L27" i="44"/>
  <c r="D31" i="14"/>
  <c r="L27" i="14"/>
  <c r="Z31" i="24"/>
  <c r="T36" i="24"/>
  <c r="Z36" i="24" s="1"/>
  <c r="N27" i="32"/>
  <c r="H31" i="32"/>
  <c r="H31" i="47"/>
  <c r="L31" i="47" s="1"/>
  <c r="N27" i="47"/>
  <c r="D60" i="59"/>
  <c r="L56" i="59"/>
  <c r="N56" i="59" s="1"/>
  <c r="Z45" i="61"/>
  <c r="T49" i="61"/>
  <c r="P96" i="71"/>
  <c r="X50" i="71"/>
  <c r="Z50" i="71" s="1"/>
  <c r="H115" i="66"/>
  <c r="N57" i="66"/>
  <c r="P48" i="65"/>
  <c r="X44" i="65"/>
  <c r="Z44" i="65" s="1"/>
  <c r="H84" i="94"/>
  <c r="L84" i="94" s="1"/>
  <c r="Z27" i="5"/>
  <c r="T31" i="5"/>
  <c r="H262" i="3"/>
  <c r="N153" i="3"/>
  <c r="D36" i="7"/>
  <c r="D31" i="54"/>
  <c r="L31" i="54" s="1"/>
  <c r="N31" i="54" s="1"/>
  <c r="L26" i="54"/>
  <c r="H142" i="69"/>
  <c r="N83" i="69"/>
  <c r="L29" i="70"/>
  <c r="H85" i="79"/>
  <c r="N81" i="79"/>
  <c r="X47" i="90"/>
  <c r="Z47" i="90" s="1"/>
  <c r="L21" i="94"/>
  <c r="N21" i="94" s="1"/>
  <c r="L27" i="98"/>
  <c r="D26" i="6"/>
  <c r="L22" i="6"/>
  <c r="H110" i="36"/>
  <c r="L110" i="36" s="1"/>
  <c r="N24" i="36"/>
  <c r="H96" i="51"/>
  <c r="N50" i="51"/>
  <c r="L44" i="74"/>
  <c r="R47" i="77"/>
  <c r="P37" i="82"/>
  <c r="X33" i="82"/>
  <c r="Z33" i="82" s="1"/>
  <c r="D36" i="99"/>
  <c r="P266" i="3"/>
  <c r="X262" i="3"/>
  <c r="Z262" i="3" s="1"/>
  <c r="R262" i="3"/>
  <c r="P31" i="7"/>
  <c r="X27" i="7"/>
  <c r="L31" i="31"/>
  <c r="N31" i="31" s="1"/>
  <c r="D116" i="39"/>
  <c r="L112" i="39"/>
  <c r="F112" i="39"/>
  <c r="D31" i="43"/>
  <c r="L27" i="43"/>
  <c r="T96" i="51"/>
  <c r="V50" i="51"/>
  <c r="T75" i="58"/>
  <c r="Z72" i="58"/>
  <c r="H34" i="89"/>
  <c r="N30" i="89"/>
  <c r="H28" i="96"/>
  <c r="N24" i="96"/>
  <c r="H31" i="24"/>
  <c r="N27" i="24"/>
  <c r="L27" i="24"/>
  <c r="L17" i="87"/>
  <c r="N17" i="87" s="1"/>
  <c r="D25" i="87"/>
  <c r="X36" i="38" l="1"/>
  <c r="N31" i="23"/>
  <c r="H36" i="23"/>
  <c r="N36" i="23" s="1"/>
  <c r="D33" i="93"/>
  <c r="L30" i="93"/>
  <c r="P146" i="69"/>
  <c r="X142" i="69"/>
  <c r="R142" i="69"/>
  <c r="T248" i="18"/>
  <c r="V244" i="18"/>
  <c r="H100" i="51"/>
  <c r="J96" i="51"/>
  <c r="T33" i="75"/>
  <c r="Z29" i="75"/>
  <c r="V29" i="75"/>
  <c r="X29" i="75"/>
  <c r="H57" i="67"/>
  <c r="L36" i="88"/>
  <c r="D39" i="88"/>
  <c r="N31" i="46"/>
  <c r="H36" i="46"/>
  <c r="L31" i="46"/>
  <c r="D36" i="14"/>
  <c r="L36" i="14" s="1"/>
  <c r="L31" i="14"/>
  <c r="Z108" i="77"/>
  <c r="T112" i="77"/>
  <c r="V108" i="77"/>
  <c r="H39" i="80"/>
  <c r="D52" i="61"/>
  <c r="L52" i="61" s="1"/>
  <c r="L49" i="61"/>
  <c r="N49" i="61" s="1"/>
  <c r="H53" i="60"/>
  <c r="T37" i="89"/>
  <c r="P40" i="82"/>
  <c r="X37" i="82"/>
  <c r="D106" i="62"/>
  <c r="L106" i="62" s="1"/>
  <c r="L103" i="62"/>
  <c r="N103" i="62" s="1"/>
  <c r="T223" i="15"/>
  <c r="Z219" i="15"/>
  <c r="V219" i="15"/>
  <c r="P36" i="53"/>
  <c r="X31" i="53"/>
  <c r="D37" i="78"/>
  <c r="L34" i="78"/>
  <c r="H81" i="76"/>
  <c r="H36" i="16"/>
  <c r="N31" i="16"/>
  <c r="L31" i="16"/>
  <c r="N83" i="85"/>
  <c r="H87" i="85"/>
  <c r="H223" i="15"/>
  <c r="J219" i="15"/>
  <c r="P106" i="42"/>
  <c r="X102" i="42"/>
  <c r="Z102" i="42" s="1"/>
  <c r="R102" i="42"/>
  <c r="D40" i="82"/>
  <c r="L40" i="82" s="1"/>
  <c r="N40" i="82" s="1"/>
  <c r="L37" i="82"/>
  <c r="N37" i="82" s="1"/>
  <c r="D55" i="91"/>
  <c r="L52" i="91"/>
  <c r="X50" i="67"/>
  <c r="P54" i="67"/>
  <c r="T36" i="41"/>
  <c r="Z36" i="41" s="1"/>
  <c r="Z31" i="41"/>
  <c r="D36" i="11"/>
  <c r="L36" i="11" s="1"/>
  <c r="L31" i="11"/>
  <c r="X244" i="18"/>
  <c r="Z244" i="18" s="1"/>
  <c r="P106" i="62"/>
  <c r="X103" i="62"/>
  <c r="L31" i="37"/>
  <c r="D36" i="37"/>
  <c r="X68" i="57"/>
  <c r="Z53" i="60"/>
  <c r="P51" i="74"/>
  <c r="X51" i="74" s="1"/>
  <c r="X48" i="74"/>
  <c r="Z48" i="74" s="1"/>
  <c r="T81" i="76"/>
  <c r="P164" i="28"/>
  <c r="X160" i="28"/>
  <c r="Z160" i="28" s="1"/>
  <c r="R160" i="28"/>
  <c r="P73" i="86"/>
  <c r="X70" i="86"/>
  <c r="T31" i="96"/>
  <c r="Z28" i="96"/>
  <c r="P36" i="30"/>
  <c r="X36" i="30" s="1"/>
  <c r="X31" i="30"/>
  <c r="T67" i="97"/>
  <c r="V63" i="97"/>
  <c r="P36" i="17"/>
  <c r="X31" i="17"/>
  <c r="X34" i="89"/>
  <c r="Z34" i="89" s="1"/>
  <c r="L36" i="53"/>
  <c r="N31" i="41"/>
  <c r="H36" i="41"/>
  <c r="L31" i="41"/>
  <c r="T36" i="32"/>
  <c r="Z36" i="32" s="1"/>
  <c r="Z31" i="32"/>
  <c r="D36" i="10"/>
  <c r="L36" i="10" s="1"/>
  <c r="L31" i="10"/>
  <c r="H116" i="39"/>
  <c r="N112" i="39"/>
  <c r="J112" i="39"/>
  <c r="X42" i="83"/>
  <c r="Z42" i="83" s="1"/>
  <c r="P45" i="83"/>
  <c r="X45" i="83" s="1"/>
  <c r="Z45" i="83" s="1"/>
  <c r="P98" i="45"/>
  <c r="X95" i="45"/>
  <c r="R95" i="45"/>
  <c r="T85" i="79"/>
  <c r="Z81" i="79"/>
  <c r="P36" i="27"/>
  <c r="X31" i="27"/>
  <c r="D36" i="4"/>
  <c r="L31" i="4"/>
  <c r="H36" i="19"/>
  <c r="N31" i="19"/>
  <c r="L31" i="19"/>
  <c r="P55" i="91"/>
  <c r="X52" i="91"/>
  <c r="P51" i="65"/>
  <c r="X48" i="65"/>
  <c r="X50" i="60"/>
  <c r="Z50" i="60" s="1"/>
  <c r="P53" i="60"/>
  <c r="X53" i="60" s="1"/>
  <c r="N31" i="8"/>
  <c r="H36" i="8"/>
  <c r="N36" i="8" s="1"/>
  <c r="D71" i="73"/>
  <c r="L67" i="73"/>
  <c r="N67" i="73" s="1"/>
  <c r="Z51" i="74"/>
  <c r="N31" i="24"/>
  <c r="H36" i="24"/>
  <c r="L31" i="24"/>
  <c r="H114" i="36"/>
  <c r="N110" i="36"/>
  <c r="J110" i="36"/>
  <c r="P91" i="94"/>
  <c r="X88" i="94"/>
  <c r="R88" i="94"/>
  <c r="T100" i="51"/>
  <c r="V96" i="51"/>
  <c r="P36" i="7"/>
  <c r="X36" i="7" s="1"/>
  <c r="X31" i="7"/>
  <c r="H266" i="3"/>
  <c r="N262" i="3"/>
  <c r="J262" i="3"/>
  <c r="H119" i="66"/>
  <c r="J115" i="66"/>
  <c r="H36" i="47"/>
  <c r="N36" i="47" s="1"/>
  <c r="N31" i="47"/>
  <c r="X36" i="80"/>
  <c r="Z36" i="80" s="1"/>
  <c r="P39" i="80"/>
  <c r="X39" i="80" s="1"/>
  <c r="Z39" i="80" s="1"/>
  <c r="P36" i="41"/>
  <c r="X36" i="41" s="1"/>
  <c r="X31" i="41"/>
  <c r="T36" i="22"/>
  <c r="Z36" i="22" s="1"/>
  <c r="Z31" i="22"/>
  <c r="H83" i="92"/>
  <c r="J79" i="92"/>
  <c r="T90" i="85"/>
  <c r="V87" i="85"/>
  <c r="T36" i="53"/>
  <c r="Z36" i="53" s="1"/>
  <c r="Z31" i="53"/>
  <c r="N31" i="30"/>
  <c r="H36" i="30"/>
  <c r="N36" i="30" s="1"/>
  <c r="D36" i="29"/>
  <c r="L31" i="29"/>
  <c r="D36" i="8"/>
  <c r="L31" i="8"/>
  <c r="X31" i="22"/>
  <c r="L36" i="35"/>
  <c r="T88" i="94"/>
  <c r="Z84" i="94"/>
  <c r="V84" i="94"/>
  <c r="P36" i="19"/>
  <c r="X31" i="19"/>
  <c r="P88" i="95"/>
  <c r="X85" i="95"/>
  <c r="Z85" i="95" s="1"/>
  <c r="R85" i="95"/>
  <c r="P36" i="50"/>
  <c r="X31" i="50"/>
  <c r="P36" i="24"/>
  <c r="X36" i="24" s="1"/>
  <c r="X31" i="24"/>
  <c r="T114" i="36"/>
  <c r="Z110" i="36"/>
  <c r="V110" i="36"/>
  <c r="Z31" i="44"/>
  <c r="T36" i="44"/>
  <c r="Z36" i="44" s="1"/>
  <c r="H36" i="99"/>
  <c r="N36" i="99" s="1"/>
  <c r="N31" i="99"/>
  <c r="D79" i="81"/>
  <c r="L79" i="81" s="1"/>
  <c r="L76" i="81"/>
  <c r="N76" i="81" s="1"/>
  <c r="X83" i="92"/>
  <c r="P86" i="92"/>
  <c r="R83" i="92"/>
  <c r="D88" i="79"/>
  <c r="L85" i="79"/>
  <c r="F85" i="79"/>
  <c r="T36" i="49"/>
  <c r="Z36" i="49" s="1"/>
  <c r="Z31" i="49"/>
  <c r="N31" i="4"/>
  <c r="H36" i="4"/>
  <c r="N36" i="4" s="1"/>
  <c r="P251" i="18"/>
  <c r="X248" i="18"/>
  <c r="R248" i="18"/>
  <c r="D83" i="92"/>
  <c r="L79" i="92"/>
  <c r="N79" i="92" s="1"/>
  <c r="F79" i="92"/>
  <c r="D117" i="36"/>
  <c r="L114" i="36"/>
  <c r="F114" i="36"/>
  <c r="H29" i="87"/>
  <c r="J25" i="87"/>
  <c r="L85" i="95"/>
  <c r="N85" i="95" s="1"/>
  <c r="D88" i="95"/>
  <c r="F85" i="95"/>
  <c r="P37" i="55"/>
  <c r="X37" i="55" s="1"/>
  <c r="X34" i="55"/>
  <c r="Z34" i="55" s="1"/>
  <c r="Z31" i="99"/>
  <c r="T36" i="99"/>
  <c r="Z36" i="99" s="1"/>
  <c r="D70" i="48"/>
  <c r="F67" i="48"/>
  <c r="H112" i="77"/>
  <c r="J108" i="77"/>
  <c r="P36" i="16"/>
  <c r="X31" i="16"/>
  <c r="D53" i="60"/>
  <c r="L53" i="60" s="1"/>
  <c r="L50" i="60"/>
  <c r="N50" i="60" s="1"/>
  <c r="P223" i="15"/>
  <c r="X219" i="15"/>
  <c r="R219" i="15"/>
  <c r="X81" i="79"/>
  <c r="Z31" i="37"/>
  <c r="T36" i="37"/>
  <c r="X31" i="37"/>
  <c r="T271" i="3"/>
  <c r="V266" i="3"/>
  <c r="H164" i="28"/>
  <c r="J160" i="28"/>
  <c r="H248" i="18"/>
  <c r="J244" i="18"/>
  <c r="N106" i="62"/>
  <c r="X37" i="89"/>
  <c r="T31" i="6"/>
  <c r="Z26" i="6"/>
  <c r="P231" i="12"/>
  <c r="X227" i="12"/>
  <c r="Z227" i="12" s="1"/>
  <c r="R227" i="12"/>
  <c r="L31" i="23"/>
  <c r="D36" i="23"/>
  <c r="D37" i="89"/>
  <c r="L34" i="89"/>
  <c r="H169" i="34"/>
  <c r="J165" i="34"/>
  <c r="T88" i="95"/>
  <c r="Z31" i="54"/>
  <c r="X108" i="77"/>
  <c r="P112" i="77"/>
  <c r="R108" i="77"/>
  <c r="T36" i="50"/>
  <c r="Z36" i="50" s="1"/>
  <c r="Z31" i="50"/>
  <c r="X33" i="93"/>
  <c r="D36" i="17"/>
  <c r="L36" i="17" s="1"/>
  <c r="L31" i="17"/>
  <c r="T37" i="55"/>
  <c r="N85" i="79"/>
  <c r="H88" i="79"/>
  <c r="H36" i="7"/>
  <c r="N36" i="7" s="1"/>
  <c r="N31" i="7"/>
  <c r="P31" i="54"/>
  <c r="X31" i="54" s="1"/>
  <c r="X26" i="54"/>
  <c r="H36" i="49"/>
  <c r="N36" i="49" s="1"/>
  <c r="N31" i="49"/>
  <c r="P74" i="73"/>
  <c r="X71" i="73"/>
  <c r="D90" i="85"/>
  <c r="L87" i="85"/>
  <c r="F87" i="85"/>
  <c r="H31" i="96"/>
  <c r="N28" i="96"/>
  <c r="D31" i="6"/>
  <c r="L31" i="6" s="1"/>
  <c r="L26" i="6"/>
  <c r="H146" i="69"/>
  <c r="J142" i="69"/>
  <c r="T36" i="5"/>
  <c r="Z36" i="5" s="1"/>
  <c r="Z31" i="5"/>
  <c r="H36" i="32"/>
  <c r="N36" i="32" s="1"/>
  <c r="N31" i="32"/>
  <c r="N31" i="44"/>
  <c r="H36" i="44"/>
  <c r="L31" i="44"/>
  <c r="N31" i="6"/>
  <c r="H70" i="97"/>
  <c r="J67" i="97"/>
  <c r="H37" i="78"/>
  <c r="N34" i="78"/>
  <c r="T95" i="21"/>
  <c r="V92" i="21"/>
  <c r="H74" i="73"/>
  <c r="D36" i="26"/>
  <c r="L36" i="26" s="1"/>
  <c r="L31" i="26"/>
  <c r="T33" i="93"/>
  <c r="Z30" i="93"/>
  <c r="P90" i="85"/>
  <c r="X87" i="85"/>
  <c r="Z87" i="85" s="1"/>
  <c r="R87" i="85"/>
  <c r="P36" i="47"/>
  <c r="X36" i="47" s="1"/>
  <c r="X31" i="47"/>
  <c r="Z31" i="23"/>
  <c r="T36" i="23"/>
  <c r="Z36" i="23" s="1"/>
  <c r="P38" i="84"/>
  <c r="X34" i="84"/>
  <c r="Z34" i="84" s="1"/>
  <c r="T231" i="12"/>
  <c r="V227" i="12"/>
  <c r="D36" i="52"/>
  <c r="L31" i="52"/>
  <c r="D169" i="34"/>
  <c r="L165" i="34"/>
  <c r="N165" i="34" s="1"/>
  <c r="F165" i="34"/>
  <c r="Z31" i="19"/>
  <c r="T36" i="19"/>
  <c r="Z36" i="19" s="1"/>
  <c r="X31" i="49"/>
  <c r="P36" i="49"/>
  <c r="D266" i="3"/>
  <c r="L262" i="3"/>
  <c r="F262" i="3"/>
  <c r="T36" i="26"/>
  <c r="Z36" i="26" s="1"/>
  <c r="Z31" i="26"/>
  <c r="T36" i="20"/>
  <c r="Z36" i="20" s="1"/>
  <c r="Z31" i="20"/>
  <c r="P36" i="26"/>
  <c r="X31" i="26"/>
  <c r="H106" i="42"/>
  <c r="J102" i="42"/>
  <c r="H75" i="58"/>
  <c r="L75" i="58" s="1"/>
  <c r="N72" i="58"/>
  <c r="N38" i="84"/>
  <c r="H41" i="84"/>
  <c r="H86" i="64"/>
  <c r="P36" i="23"/>
  <c r="X31" i="23"/>
  <c r="T68" i="57"/>
  <c r="Z65" i="57"/>
  <c r="N79" i="81"/>
  <c r="Z31" i="14"/>
  <c r="T36" i="14"/>
  <c r="Z36" i="14" s="1"/>
  <c r="P88" i="79"/>
  <c r="X85" i="79"/>
  <c r="R85" i="79"/>
  <c r="D100" i="71"/>
  <c r="L96" i="71"/>
  <c r="N96" i="71" s="1"/>
  <c r="F96" i="71"/>
  <c r="T70" i="48"/>
  <c r="V67" i="48"/>
  <c r="N72" i="56"/>
  <c r="X63" i="59"/>
  <c r="N45" i="83"/>
  <c r="D106" i="42"/>
  <c r="L102" i="42"/>
  <c r="N102" i="42" s="1"/>
  <c r="F102" i="42"/>
  <c r="T40" i="82"/>
  <c r="Z37" i="82"/>
  <c r="P119" i="66"/>
  <c r="X115" i="66"/>
  <c r="Z115" i="66" s="1"/>
  <c r="R115" i="66"/>
  <c r="T172" i="34"/>
  <c r="V169" i="34"/>
  <c r="H36" i="38"/>
  <c r="N36" i="38" s="1"/>
  <c r="N31" i="38"/>
  <c r="P36" i="40"/>
  <c r="X36" i="40" s="1"/>
  <c r="X31" i="40"/>
  <c r="Z75" i="58"/>
  <c r="P86" i="64"/>
  <c r="X82" i="64"/>
  <c r="R82" i="64"/>
  <c r="D92" i="21"/>
  <c r="L88" i="21"/>
  <c r="F88" i="21"/>
  <c r="T63" i="59"/>
  <c r="T103" i="71"/>
  <c r="V100" i="71"/>
  <c r="N31" i="27"/>
  <c r="H36" i="27"/>
  <c r="N36" i="27" s="1"/>
  <c r="P100" i="71"/>
  <c r="X96" i="71"/>
  <c r="Z96" i="71" s="1"/>
  <c r="R96" i="71"/>
  <c r="D33" i="75"/>
  <c r="L29" i="75"/>
  <c r="N29" i="75" s="1"/>
  <c r="F29" i="75"/>
  <c r="T36" i="10"/>
  <c r="Z36" i="10" s="1"/>
  <c r="Z31" i="10"/>
  <c r="L70" i="86"/>
  <c r="N70" i="86" s="1"/>
  <c r="D73" i="86"/>
  <c r="L73" i="86" s="1"/>
  <c r="P85" i="31"/>
  <c r="X81" i="31"/>
  <c r="R81" i="31"/>
  <c r="T109" i="42"/>
  <c r="V106" i="42"/>
  <c r="T36" i="13"/>
  <c r="Z36" i="13" s="1"/>
  <c r="Z31" i="13"/>
  <c r="P82" i="70"/>
  <c r="X78" i="70"/>
  <c r="R78" i="70"/>
  <c r="L78" i="76"/>
  <c r="N78" i="76" s="1"/>
  <c r="D81" i="76"/>
  <c r="F78" i="76"/>
  <c r="P34" i="78"/>
  <c r="X30" i="78"/>
  <c r="Z30" i="78" s="1"/>
  <c r="R30" i="78"/>
  <c r="T119" i="25"/>
  <c r="V115" i="25"/>
  <c r="D248" i="18"/>
  <c r="L244" i="18"/>
  <c r="N244" i="18" s="1"/>
  <c r="F244" i="18"/>
  <c r="P36" i="13"/>
  <c r="X31" i="13"/>
  <c r="L39" i="80"/>
  <c r="D36" i="40"/>
  <c r="L36" i="40" s="1"/>
  <c r="L31" i="40"/>
  <c r="D223" i="15"/>
  <c r="L219" i="15"/>
  <c r="N219" i="15" s="1"/>
  <c r="F219" i="15"/>
  <c r="H231" i="12"/>
  <c r="J227" i="12"/>
  <c r="X31" i="98"/>
  <c r="P36" i="98"/>
  <c r="X60" i="59"/>
  <c r="Z60" i="59" s="1"/>
  <c r="L31" i="30"/>
  <c r="N81" i="31"/>
  <c r="H85" i="31"/>
  <c r="J81" i="31"/>
  <c r="L31" i="27"/>
  <c r="T41" i="84"/>
  <c r="V38" i="84"/>
  <c r="N52" i="61"/>
  <c r="T36" i="8"/>
  <c r="Z36" i="8" s="1"/>
  <c r="Z31" i="8"/>
  <c r="Z31" i="11"/>
  <c r="T36" i="11"/>
  <c r="Z36" i="11" s="1"/>
  <c r="D36" i="100"/>
  <c r="L31" i="100"/>
  <c r="D119" i="39"/>
  <c r="L116" i="39"/>
  <c r="F116" i="39"/>
  <c r="X54" i="90"/>
  <c r="R54" i="90"/>
  <c r="T106" i="62"/>
  <c r="Z103" i="62"/>
  <c r="H36" i="5"/>
  <c r="N36" i="5" s="1"/>
  <c r="N31" i="5"/>
  <c r="D54" i="67"/>
  <c r="L50" i="67"/>
  <c r="N50" i="67" s="1"/>
  <c r="D36" i="43"/>
  <c r="L31" i="43"/>
  <c r="D86" i="64"/>
  <c r="L82" i="64"/>
  <c r="N82" i="64" s="1"/>
  <c r="F82" i="64"/>
  <c r="D119" i="66"/>
  <c r="L115" i="66"/>
  <c r="N115" i="66" s="1"/>
  <c r="F115" i="66"/>
  <c r="D36" i="32"/>
  <c r="L31" i="32"/>
  <c r="P36" i="14"/>
  <c r="X31" i="14"/>
  <c r="Z31" i="27"/>
  <c r="T36" i="27"/>
  <c r="Z36" i="27" s="1"/>
  <c r="D72" i="56"/>
  <c r="L72" i="56" s="1"/>
  <c r="L69" i="56"/>
  <c r="N69" i="56" s="1"/>
  <c r="X112" i="39"/>
  <c r="Z112" i="39" s="1"/>
  <c r="P116" i="39"/>
  <c r="R112" i="39"/>
  <c r="H73" i="86"/>
  <c r="P95" i="21"/>
  <c r="X92" i="21"/>
  <c r="Z92" i="21" s="1"/>
  <c r="R92" i="21"/>
  <c r="H119" i="25"/>
  <c r="J115" i="25"/>
  <c r="X31" i="33"/>
  <c r="P36" i="33"/>
  <c r="D29" i="87"/>
  <c r="L25" i="87"/>
  <c r="N25" i="87" s="1"/>
  <c r="H37" i="89"/>
  <c r="N34" i="89"/>
  <c r="P271" i="3"/>
  <c r="X266" i="3"/>
  <c r="Z266" i="3" s="1"/>
  <c r="R266" i="3"/>
  <c r="T52" i="61"/>
  <c r="X52" i="61" s="1"/>
  <c r="P36" i="20"/>
  <c r="X31" i="20"/>
  <c r="N31" i="37"/>
  <c r="H36" i="37"/>
  <c r="N36" i="37" s="1"/>
  <c r="D91" i="94"/>
  <c r="L88" i="94"/>
  <c r="F88" i="94"/>
  <c r="H67" i="48"/>
  <c r="L67" i="48" s="1"/>
  <c r="N63" i="48"/>
  <c r="J63" i="48"/>
  <c r="D85" i="70"/>
  <c r="F82" i="70"/>
  <c r="H36" i="29"/>
  <c r="N36" i="29" s="1"/>
  <c r="N31" i="29"/>
  <c r="X31" i="96"/>
  <c r="D36" i="50"/>
  <c r="L31" i="50"/>
  <c r="Z70" i="86"/>
  <c r="T73" i="86"/>
  <c r="P119" i="25"/>
  <c r="X115" i="25"/>
  <c r="Z115" i="25" s="1"/>
  <c r="R115" i="25"/>
  <c r="X31" i="5"/>
  <c r="L51" i="90"/>
  <c r="D54" i="90"/>
  <c r="F51" i="90"/>
  <c r="T34" i="78"/>
  <c r="V30" i="78"/>
  <c r="H51" i="74"/>
  <c r="N48" i="74"/>
  <c r="D67" i="97"/>
  <c r="L63" i="97"/>
  <c r="N63" i="97" s="1"/>
  <c r="F63" i="97"/>
  <c r="H36" i="43"/>
  <c r="N36" i="43" s="1"/>
  <c r="N31" i="43"/>
  <c r="H36" i="100"/>
  <c r="N36" i="100" s="1"/>
  <c r="N31" i="100"/>
  <c r="P36" i="35"/>
  <c r="X36" i="35" s="1"/>
  <c r="X31" i="35"/>
  <c r="P31" i="6"/>
  <c r="X31" i="6" s="1"/>
  <c r="X26" i="6"/>
  <c r="H55" i="91"/>
  <c r="N52" i="91"/>
  <c r="P70" i="48"/>
  <c r="X67" i="48"/>
  <c r="Z67" i="48" s="1"/>
  <c r="R67" i="48"/>
  <c r="Z69" i="56"/>
  <c r="T72" i="56"/>
  <c r="T51" i="65"/>
  <c r="Z48" i="65"/>
  <c r="L36" i="80"/>
  <c r="N36" i="80" s="1"/>
  <c r="D37" i="55"/>
  <c r="L37" i="55" s="1"/>
  <c r="N37" i="55" s="1"/>
  <c r="L34" i="55"/>
  <c r="N34" i="55" s="1"/>
  <c r="Z31" i="46"/>
  <c r="T36" i="46"/>
  <c r="Z36" i="46" s="1"/>
  <c r="X63" i="97"/>
  <c r="Z63" i="97" s="1"/>
  <c r="T98" i="45"/>
  <c r="Z95" i="45"/>
  <c r="V95" i="45"/>
  <c r="T146" i="69"/>
  <c r="Z142" i="69"/>
  <c r="V142" i="69"/>
  <c r="H36" i="50"/>
  <c r="N36" i="50" s="1"/>
  <c r="N31" i="50"/>
  <c r="L41" i="84"/>
  <c r="X49" i="61"/>
  <c r="Z49" i="61" s="1"/>
  <c r="Z31" i="43"/>
  <c r="T36" i="43"/>
  <c r="X31" i="43"/>
  <c r="T36" i="52"/>
  <c r="Z36" i="52" s="1"/>
  <c r="Z31" i="52"/>
  <c r="L160" i="28"/>
  <c r="N160" i="28" s="1"/>
  <c r="D164" i="28"/>
  <c r="F160" i="28"/>
  <c r="T86" i="64"/>
  <c r="Z82" i="64"/>
  <c r="V82" i="64"/>
  <c r="D146" i="69"/>
  <c r="L142" i="69"/>
  <c r="N142" i="69" s="1"/>
  <c r="F142" i="69"/>
  <c r="T36" i="100"/>
  <c r="Z36" i="100" s="1"/>
  <c r="Z31" i="100"/>
  <c r="T164" i="28"/>
  <c r="V160" i="28"/>
  <c r="Z52" i="91"/>
  <c r="T55" i="91"/>
  <c r="R36" i="75"/>
  <c r="H82" i="70"/>
  <c r="L82" i="70" s="1"/>
  <c r="N78" i="70"/>
  <c r="J78" i="70"/>
  <c r="L108" i="77"/>
  <c r="N108" i="77" s="1"/>
  <c r="D112" i="77"/>
  <c r="F108" i="77"/>
  <c r="L51" i="74"/>
  <c r="P36" i="44"/>
  <c r="X31" i="44"/>
  <c r="Z36" i="88"/>
  <c r="T39" i="88"/>
  <c r="P36" i="11"/>
  <c r="X31" i="11"/>
  <c r="D231" i="12"/>
  <c r="L227" i="12"/>
  <c r="N227" i="12" s="1"/>
  <c r="F227" i="12"/>
  <c r="H33" i="93"/>
  <c r="N33" i="93" s="1"/>
  <c r="N30" i="93"/>
  <c r="P36" i="46"/>
  <c r="X31" i="46"/>
  <c r="T29" i="87"/>
  <c r="Z25" i="87"/>
  <c r="V25" i="87"/>
  <c r="L31" i="38"/>
  <c r="D96" i="9"/>
  <c r="L96" i="9" s="1"/>
  <c r="N96" i="9" s="1"/>
  <c r="L93" i="9"/>
  <c r="N93" i="9" s="1"/>
  <c r="X67" i="97"/>
  <c r="P70" i="97"/>
  <c r="R67" i="97"/>
  <c r="P96" i="9"/>
  <c r="X93" i="9"/>
  <c r="Z31" i="17"/>
  <c r="T36" i="17"/>
  <c r="Z36" i="17" s="1"/>
  <c r="Z93" i="9"/>
  <c r="T96" i="9"/>
  <c r="P36" i="10"/>
  <c r="X31" i="10"/>
  <c r="D36" i="20"/>
  <c r="L36" i="20" s="1"/>
  <c r="L31" i="20"/>
  <c r="D88" i="31"/>
  <c r="L85" i="31"/>
  <c r="F85" i="31"/>
  <c r="T54" i="67"/>
  <c r="Z50" i="67"/>
  <c r="Z83" i="92"/>
  <c r="T86" i="92"/>
  <c r="V83" i="92"/>
  <c r="T79" i="81"/>
  <c r="Z76" i="81"/>
  <c r="T36" i="33"/>
  <c r="Z36" i="33" s="1"/>
  <c r="Z31" i="33"/>
  <c r="N31" i="98"/>
  <c r="H36" i="98"/>
  <c r="N36" i="98" s="1"/>
  <c r="T36" i="98"/>
  <c r="Z36" i="98" s="1"/>
  <c r="Z31" i="98"/>
  <c r="D36" i="5"/>
  <c r="L31" i="5"/>
  <c r="P172" i="34"/>
  <c r="X169" i="34"/>
  <c r="Z169" i="34" s="1"/>
  <c r="R169" i="34"/>
  <c r="H36" i="52"/>
  <c r="N36" i="52" s="1"/>
  <c r="N31" i="52"/>
  <c r="T36" i="16"/>
  <c r="Z36" i="16" s="1"/>
  <c r="Z31" i="16"/>
  <c r="H68" i="57"/>
  <c r="H88" i="94"/>
  <c r="N84" i="94"/>
  <c r="J84" i="94"/>
  <c r="D68" i="57"/>
  <c r="L65" i="57"/>
  <c r="N65" i="57" s="1"/>
  <c r="D119" i="25"/>
  <c r="L115" i="25"/>
  <c r="N115" i="25" s="1"/>
  <c r="F115" i="25"/>
  <c r="P32" i="87"/>
  <c r="X29" i="87"/>
  <c r="D36" i="33"/>
  <c r="L36" i="33" s="1"/>
  <c r="L31" i="33"/>
  <c r="P36" i="100"/>
  <c r="X31" i="100"/>
  <c r="H36" i="13"/>
  <c r="N31" i="13"/>
  <c r="L31" i="13"/>
  <c r="H103" i="71"/>
  <c r="J100" i="71"/>
  <c r="P100" i="51"/>
  <c r="X96" i="51"/>
  <c r="Z96" i="51" s="1"/>
  <c r="R96" i="51"/>
  <c r="T122" i="66"/>
  <c r="V119" i="66"/>
  <c r="D63" i="59"/>
  <c r="L63" i="59" s="1"/>
  <c r="N63" i="59" s="1"/>
  <c r="L60" i="59"/>
  <c r="N60" i="59" s="1"/>
  <c r="T82" i="70"/>
  <c r="Z78" i="70"/>
  <c r="V78" i="70"/>
  <c r="T36" i="4"/>
  <c r="Z36" i="4" s="1"/>
  <c r="Z31" i="4"/>
  <c r="D95" i="45"/>
  <c r="L91" i="45"/>
  <c r="F91" i="45"/>
  <c r="T74" i="73"/>
  <c r="Z71" i="73"/>
  <c r="V71" i="73"/>
  <c r="T54" i="90"/>
  <c r="Z51" i="90"/>
  <c r="P36" i="29"/>
  <c r="X36" i="29" s="1"/>
  <c r="X31" i="29"/>
  <c r="D36" i="49"/>
  <c r="L31" i="49"/>
  <c r="H39" i="88"/>
  <c r="N36" i="88"/>
  <c r="T119" i="39"/>
  <c r="V116" i="39"/>
  <c r="P79" i="81"/>
  <c r="X76" i="81"/>
  <c r="P117" i="36"/>
  <c r="X114" i="36"/>
  <c r="R114" i="36"/>
  <c r="N51" i="90"/>
  <c r="H54" i="90"/>
  <c r="N88" i="21"/>
  <c r="H92" i="21"/>
  <c r="H36" i="75"/>
  <c r="J33" i="75"/>
  <c r="Z81" i="31"/>
  <c r="T85" i="31"/>
  <c r="V81" i="31"/>
  <c r="X78" i="76"/>
  <c r="Z78" i="76" s="1"/>
  <c r="P81" i="76"/>
  <c r="R78" i="76"/>
  <c r="H95" i="45"/>
  <c r="N91" i="45"/>
  <c r="J91" i="45"/>
  <c r="X31" i="4"/>
  <c r="D100" i="51"/>
  <c r="L96" i="51"/>
  <c r="N96" i="51" s="1"/>
  <c r="F96" i="51"/>
  <c r="D36" i="22"/>
  <c r="L36" i="22" s="1"/>
  <c r="L31" i="22"/>
  <c r="L36" i="27" l="1"/>
  <c r="X36" i="10"/>
  <c r="X36" i="13"/>
  <c r="X36" i="100"/>
  <c r="L36" i="32"/>
  <c r="L36" i="23"/>
  <c r="L36" i="30"/>
  <c r="X36" i="46"/>
  <c r="L36" i="99"/>
  <c r="L36" i="49"/>
  <c r="X36" i="5"/>
  <c r="L36" i="5"/>
  <c r="X36" i="14"/>
  <c r="X36" i="99"/>
  <c r="X36" i="32"/>
  <c r="L36" i="47"/>
  <c r="X36" i="11"/>
  <c r="X36" i="52"/>
  <c r="X36" i="49"/>
  <c r="X36" i="50"/>
  <c r="L36" i="100"/>
  <c r="L36" i="43"/>
  <c r="L36" i="38"/>
  <c r="X36" i="23"/>
  <c r="X36" i="20"/>
  <c r="X117" i="36"/>
  <c r="R117" i="36"/>
  <c r="Z79" i="81"/>
  <c r="D251" i="18"/>
  <c r="L248" i="18"/>
  <c r="F248" i="18"/>
  <c r="P103" i="71"/>
  <c r="X100" i="71"/>
  <c r="Z100" i="71" s="1"/>
  <c r="R100" i="71"/>
  <c r="P122" i="66"/>
  <c r="X119" i="66"/>
  <c r="Z119" i="66" s="1"/>
  <c r="R119" i="66"/>
  <c r="J70" i="97"/>
  <c r="Z271" i="3"/>
  <c r="V271" i="3"/>
  <c r="F117" i="36"/>
  <c r="X88" i="95"/>
  <c r="R88" i="95"/>
  <c r="T103" i="51"/>
  <c r="V100" i="51"/>
  <c r="T70" i="97"/>
  <c r="Z67" i="97"/>
  <c r="V67" i="97"/>
  <c r="H226" i="15"/>
  <c r="J223" i="15"/>
  <c r="L36" i="7"/>
  <c r="D103" i="51"/>
  <c r="L100" i="51"/>
  <c r="F100" i="51"/>
  <c r="H95" i="21"/>
  <c r="X79" i="81"/>
  <c r="L68" i="57"/>
  <c r="D149" i="69"/>
  <c r="L146" i="69"/>
  <c r="F146" i="69"/>
  <c r="D70" i="97"/>
  <c r="L67" i="97"/>
  <c r="N67" i="97" s="1"/>
  <c r="F67" i="97"/>
  <c r="Z73" i="86"/>
  <c r="F91" i="94"/>
  <c r="X36" i="33"/>
  <c r="X36" i="98"/>
  <c r="R88" i="79"/>
  <c r="X38" i="84"/>
  <c r="Z38" i="84" s="1"/>
  <c r="P41" i="84"/>
  <c r="X41" i="84" s="1"/>
  <c r="X90" i="85"/>
  <c r="R90" i="85"/>
  <c r="X36" i="22"/>
  <c r="P234" i="12"/>
  <c r="X231" i="12"/>
  <c r="R231" i="12"/>
  <c r="L88" i="95"/>
  <c r="N88" i="95" s="1"/>
  <c r="F88" i="95"/>
  <c r="T117" i="36"/>
  <c r="Z114" i="36"/>
  <c r="V114" i="36"/>
  <c r="H122" i="66"/>
  <c r="J119" i="66"/>
  <c r="H117" i="36"/>
  <c r="L117" i="36" s="1"/>
  <c r="N114" i="36"/>
  <c r="J114" i="36"/>
  <c r="T88" i="79"/>
  <c r="X88" i="79" s="1"/>
  <c r="Z85" i="79"/>
  <c r="N116" i="39"/>
  <c r="H119" i="39"/>
  <c r="J116" i="39"/>
  <c r="X36" i="4"/>
  <c r="P167" i="28"/>
  <c r="X164" i="28"/>
  <c r="R164" i="28"/>
  <c r="L36" i="37"/>
  <c r="N87" i="85"/>
  <c r="H90" i="85"/>
  <c r="L37" i="78"/>
  <c r="N37" i="78" s="1"/>
  <c r="J36" i="75"/>
  <c r="D122" i="25"/>
  <c r="L119" i="25"/>
  <c r="F119" i="25"/>
  <c r="X95" i="21"/>
  <c r="R95" i="21"/>
  <c r="L119" i="39"/>
  <c r="F119" i="39"/>
  <c r="D226" i="15"/>
  <c r="L223" i="15"/>
  <c r="N223" i="15" s="1"/>
  <c r="F223" i="15"/>
  <c r="L81" i="76"/>
  <c r="F81" i="76"/>
  <c r="T88" i="31"/>
  <c r="V85" i="31"/>
  <c r="D98" i="45"/>
  <c r="L95" i="45"/>
  <c r="F95" i="45"/>
  <c r="V86" i="92"/>
  <c r="F85" i="70"/>
  <c r="N73" i="86"/>
  <c r="Z41" i="84"/>
  <c r="V41" i="84"/>
  <c r="T122" i="25"/>
  <c r="V119" i="25"/>
  <c r="D95" i="21"/>
  <c r="L92" i="21"/>
  <c r="N92" i="21" s="1"/>
  <c r="F92" i="21"/>
  <c r="H89" i="64"/>
  <c r="H109" i="42"/>
  <c r="J106" i="42"/>
  <c r="D172" i="34"/>
  <c r="L169" i="34"/>
  <c r="F169" i="34"/>
  <c r="X39" i="88"/>
  <c r="Z39" i="88" s="1"/>
  <c r="Z37" i="55"/>
  <c r="H172" i="34"/>
  <c r="N169" i="34"/>
  <c r="J169" i="34"/>
  <c r="H251" i="18"/>
  <c r="N248" i="18"/>
  <c r="J248" i="18"/>
  <c r="Z36" i="37"/>
  <c r="X36" i="37"/>
  <c r="X36" i="19"/>
  <c r="L36" i="8"/>
  <c r="N36" i="19"/>
  <c r="L36" i="19"/>
  <c r="X40" i="82"/>
  <c r="Z40" i="82" s="1"/>
  <c r="N39" i="80"/>
  <c r="N36" i="46"/>
  <c r="L36" i="46"/>
  <c r="T251" i="18"/>
  <c r="Z248" i="18"/>
  <c r="V248" i="18"/>
  <c r="T85" i="70"/>
  <c r="V82" i="70"/>
  <c r="P122" i="25"/>
  <c r="X119" i="25"/>
  <c r="Z119" i="25" s="1"/>
  <c r="R119" i="25"/>
  <c r="D32" i="87"/>
  <c r="L32" i="87" s="1"/>
  <c r="L29" i="87"/>
  <c r="L119" i="66"/>
  <c r="N119" i="66" s="1"/>
  <c r="D122" i="66"/>
  <c r="F119" i="66"/>
  <c r="L31" i="96"/>
  <c r="N31" i="96" s="1"/>
  <c r="T149" i="69"/>
  <c r="Z146" i="69"/>
  <c r="V146" i="69"/>
  <c r="L54" i="90"/>
  <c r="N54" i="90" s="1"/>
  <c r="F54" i="90"/>
  <c r="L36" i="98"/>
  <c r="V70" i="48"/>
  <c r="D271" i="3"/>
  <c r="L266" i="3"/>
  <c r="N266" i="3" s="1"/>
  <c r="F266" i="3"/>
  <c r="L90" i="85"/>
  <c r="F90" i="85"/>
  <c r="P115" i="77"/>
  <c r="X112" i="77"/>
  <c r="R112" i="77"/>
  <c r="X36" i="16"/>
  <c r="F70" i="48"/>
  <c r="D86" i="92"/>
  <c r="L83" i="92"/>
  <c r="F83" i="92"/>
  <c r="Z90" i="85"/>
  <c r="V90" i="85"/>
  <c r="N36" i="24"/>
  <c r="L36" i="24"/>
  <c r="P57" i="67"/>
  <c r="X57" i="67" s="1"/>
  <c r="X54" i="67"/>
  <c r="P109" i="42"/>
  <c r="X106" i="42"/>
  <c r="Z106" i="42" s="1"/>
  <c r="R106" i="42"/>
  <c r="X36" i="53"/>
  <c r="P103" i="51"/>
  <c r="X100" i="51"/>
  <c r="Z100" i="51" s="1"/>
  <c r="R100" i="51"/>
  <c r="F88" i="31"/>
  <c r="J103" i="71"/>
  <c r="T167" i="28"/>
  <c r="Z164" i="28"/>
  <c r="V164" i="28"/>
  <c r="Z36" i="43"/>
  <c r="X36" i="43"/>
  <c r="N51" i="74"/>
  <c r="D89" i="64"/>
  <c r="L86" i="64"/>
  <c r="N86" i="64" s="1"/>
  <c r="F86" i="64"/>
  <c r="V109" i="42"/>
  <c r="Z33" i="93"/>
  <c r="H149" i="69"/>
  <c r="N146" i="69"/>
  <c r="J146" i="69"/>
  <c r="V119" i="39"/>
  <c r="Z54" i="90"/>
  <c r="N88" i="94"/>
  <c r="H91" i="94"/>
  <c r="J88" i="94"/>
  <c r="X36" i="44"/>
  <c r="H85" i="70"/>
  <c r="N82" i="70"/>
  <c r="J82" i="70"/>
  <c r="T89" i="64"/>
  <c r="V86" i="64"/>
  <c r="X70" i="48"/>
  <c r="Z70" i="48" s="1"/>
  <c r="R70" i="48"/>
  <c r="L36" i="50"/>
  <c r="X271" i="3"/>
  <c r="R271" i="3"/>
  <c r="P119" i="39"/>
  <c r="X116" i="39"/>
  <c r="Z116" i="39" s="1"/>
  <c r="R116" i="39"/>
  <c r="P85" i="70"/>
  <c r="X82" i="70"/>
  <c r="Z82" i="70" s="1"/>
  <c r="R82" i="70"/>
  <c r="N41" i="84"/>
  <c r="X36" i="26"/>
  <c r="L36" i="52"/>
  <c r="X36" i="8"/>
  <c r="Z95" i="21"/>
  <c r="V95" i="21"/>
  <c r="N36" i="44"/>
  <c r="L36" i="44"/>
  <c r="L37" i="89"/>
  <c r="L36" i="29"/>
  <c r="H271" i="3"/>
  <c r="J266" i="3"/>
  <c r="L36" i="4"/>
  <c r="X98" i="45"/>
  <c r="R98" i="45"/>
  <c r="Z31" i="96"/>
  <c r="X106" i="62"/>
  <c r="Z106" i="62" s="1"/>
  <c r="Z37" i="89"/>
  <c r="T115" i="77"/>
  <c r="Z112" i="77"/>
  <c r="V112" i="77"/>
  <c r="L39" i="88"/>
  <c r="T36" i="75"/>
  <c r="V33" i="75"/>
  <c r="X33" i="75"/>
  <c r="Z33" i="75" s="1"/>
  <c r="V74" i="73"/>
  <c r="H98" i="45"/>
  <c r="N95" i="45"/>
  <c r="J95" i="45"/>
  <c r="V122" i="66"/>
  <c r="X96" i="9"/>
  <c r="Z96" i="9" s="1"/>
  <c r="N119" i="25"/>
  <c r="H122" i="25"/>
  <c r="J119" i="25"/>
  <c r="H234" i="12"/>
  <c r="N231" i="12"/>
  <c r="J231" i="12"/>
  <c r="V103" i="71"/>
  <c r="V172" i="34"/>
  <c r="Z31" i="6"/>
  <c r="H167" i="28"/>
  <c r="J164" i="28"/>
  <c r="H32" i="87"/>
  <c r="N29" i="87"/>
  <c r="J29" i="87"/>
  <c r="L88" i="79"/>
  <c r="F88" i="79"/>
  <c r="H86" i="92"/>
  <c r="N83" i="92"/>
  <c r="J83" i="92"/>
  <c r="X51" i="65"/>
  <c r="Z51" i="65" s="1"/>
  <c r="X36" i="17"/>
  <c r="N36" i="16"/>
  <c r="L36" i="16"/>
  <c r="X146" i="69"/>
  <c r="P149" i="69"/>
  <c r="R146" i="69"/>
  <c r="X172" i="34"/>
  <c r="Z172" i="34" s="1"/>
  <c r="R172" i="34"/>
  <c r="T57" i="67"/>
  <c r="Z54" i="67"/>
  <c r="T37" i="78"/>
  <c r="V34" i="78"/>
  <c r="H88" i="31"/>
  <c r="N85" i="31"/>
  <c r="J85" i="31"/>
  <c r="D36" i="75"/>
  <c r="L33" i="75"/>
  <c r="N33" i="75" s="1"/>
  <c r="F33" i="75"/>
  <c r="P89" i="64"/>
  <c r="X86" i="64"/>
  <c r="Z86" i="64" s="1"/>
  <c r="R86" i="64"/>
  <c r="D109" i="42"/>
  <c r="L106" i="42"/>
  <c r="N106" i="42" s="1"/>
  <c r="F106" i="42"/>
  <c r="N39" i="88"/>
  <c r="N36" i="13"/>
  <c r="L36" i="13"/>
  <c r="N68" i="57"/>
  <c r="T32" i="87"/>
  <c r="X32" i="87" s="1"/>
  <c r="Z29" i="87"/>
  <c r="V29" i="87"/>
  <c r="D234" i="12"/>
  <c r="L231" i="12"/>
  <c r="F231" i="12"/>
  <c r="D167" i="28"/>
  <c r="L164" i="28"/>
  <c r="N164" i="28" s="1"/>
  <c r="F164" i="28"/>
  <c r="Z98" i="45"/>
  <c r="V98" i="45"/>
  <c r="H70" i="48"/>
  <c r="L70" i="48" s="1"/>
  <c r="N67" i="48"/>
  <c r="J67" i="48"/>
  <c r="N37" i="89"/>
  <c r="X34" i="78"/>
  <c r="Z34" i="78" s="1"/>
  <c r="P37" i="78"/>
  <c r="R34" i="78"/>
  <c r="P88" i="31"/>
  <c r="X85" i="31"/>
  <c r="Z85" i="31" s="1"/>
  <c r="R85" i="31"/>
  <c r="Z63" i="59"/>
  <c r="D103" i="71"/>
  <c r="L100" i="71"/>
  <c r="N100" i="71" s="1"/>
  <c r="F100" i="71"/>
  <c r="Z68" i="57"/>
  <c r="N88" i="79"/>
  <c r="H115" i="77"/>
  <c r="J112" i="77"/>
  <c r="X251" i="18"/>
  <c r="R251" i="18"/>
  <c r="T91" i="94"/>
  <c r="Z88" i="94"/>
  <c r="V88" i="94"/>
  <c r="X91" i="94"/>
  <c r="R91" i="94"/>
  <c r="X36" i="27"/>
  <c r="X73" i="86"/>
  <c r="L55" i="91"/>
  <c r="N55" i="91" s="1"/>
  <c r="T226" i="15"/>
  <c r="V223" i="15"/>
  <c r="N53" i="60"/>
  <c r="X81" i="76"/>
  <c r="Z81" i="76" s="1"/>
  <c r="R81" i="76"/>
  <c r="X70" i="97"/>
  <c r="R70" i="97"/>
  <c r="D115" i="77"/>
  <c r="L112" i="77"/>
  <c r="N112" i="77" s="1"/>
  <c r="F112" i="77"/>
  <c r="Z52" i="61"/>
  <c r="D57" i="67"/>
  <c r="L57" i="67" s="1"/>
  <c r="L54" i="67"/>
  <c r="N54" i="67" s="1"/>
  <c r="N75" i="58"/>
  <c r="Z231" i="12"/>
  <c r="T234" i="12"/>
  <c r="V231" i="12"/>
  <c r="X74" i="73"/>
  <c r="Z74" i="73" s="1"/>
  <c r="Z88" i="95"/>
  <c r="P226" i="15"/>
  <c r="X223" i="15"/>
  <c r="Z223" i="15" s="1"/>
  <c r="R223" i="15"/>
  <c r="X86" i="92"/>
  <c r="Z86" i="92" s="1"/>
  <c r="R86" i="92"/>
  <c r="D74" i="73"/>
  <c r="L74" i="73" s="1"/>
  <c r="N74" i="73" s="1"/>
  <c r="L71" i="73"/>
  <c r="N71" i="73" s="1"/>
  <c r="X55" i="91"/>
  <c r="Z55" i="91" s="1"/>
  <c r="X72" i="56"/>
  <c r="Z72" i="56" s="1"/>
  <c r="N36" i="41"/>
  <c r="L36" i="41"/>
  <c r="N81" i="76"/>
  <c r="N57" i="67"/>
  <c r="H103" i="51"/>
  <c r="N100" i="51"/>
  <c r="J100" i="51"/>
  <c r="L33" i="93"/>
  <c r="Z36" i="75" l="1"/>
  <c r="V36" i="75"/>
  <c r="X36" i="75"/>
  <c r="J85" i="70"/>
  <c r="L86" i="92"/>
  <c r="F86" i="92"/>
  <c r="L98" i="45"/>
  <c r="F98" i="45"/>
  <c r="L172" i="34"/>
  <c r="F172" i="34"/>
  <c r="X88" i="31"/>
  <c r="R88" i="31"/>
  <c r="J122" i="25"/>
  <c r="J91" i="94"/>
  <c r="N149" i="69"/>
  <c r="J149" i="69"/>
  <c r="L271" i="3"/>
  <c r="F271" i="3"/>
  <c r="Z149" i="69"/>
  <c r="V149" i="69"/>
  <c r="L95" i="21"/>
  <c r="F95" i="21"/>
  <c r="L85" i="70"/>
  <c r="N85" i="70" s="1"/>
  <c r="Z88" i="31"/>
  <c r="V88" i="31"/>
  <c r="N90" i="85"/>
  <c r="N119" i="39"/>
  <c r="J119" i="39"/>
  <c r="X103" i="71"/>
  <c r="Z103" i="71" s="1"/>
  <c r="R103" i="71"/>
  <c r="N115" i="77"/>
  <c r="J115" i="77"/>
  <c r="X149" i="69"/>
  <c r="R149" i="69"/>
  <c r="V37" i="78"/>
  <c r="N98" i="45"/>
  <c r="J98" i="45"/>
  <c r="X103" i="51"/>
  <c r="Z103" i="51" s="1"/>
  <c r="R103" i="51"/>
  <c r="V234" i="12"/>
  <c r="V226" i="15"/>
  <c r="L115" i="77"/>
  <c r="F115" i="77"/>
  <c r="Z91" i="94"/>
  <c r="V91" i="94"/>
  <c r="L234" i="12"/>
  <c r="F234" i="12"/>
  <c r="L36" i="75"/>
  <c r="N36" i="75" s="1"/>
  <c r="F36" i="75"/>
  <c r="Z57" i="67"/>
  <c r="Z115" i="77"/>
  <c r="V115" i="77"/>
  <c r="Z251" i="18"/>
  <c r="V251" i="18"/>
  <c r="N122" i="66"/>
  <c r="J122" i="66"/>
  <c r="X234" i="12"/>
  <c r="Z234" i="12" s="1"/>
  <c r="R234" i="12"/>
  <c r="N95" i="21"/>
  <c r="N226" i="15"/>
  <c r="J226" i="15"/>
  <c r="X85" i="70"/>
  <c r="R85" i="70"/>
  <c r="J251" i="18"/>
  <c r="X37" i="78"/>
  <c r="Z37" i="78" s="1"/>
  <c r="R37" i="78"/>
  <c r="N271" i="3"/>
  <c r="J271" i="3"/>
  <c r="X119" i="39"/>
  <c r="Z119" i="39" s="1"/>
  <c r="R119" i="39"/>
  <c r="V89" i="64"/>
  <c r="X122" i="25"/>
  <c r="Z122" i="25" s="1"/>
  <c r="R122" i="25"/>
  <c r="N172" i="34"/>
  <c r="J172" i="34"/>
  <c r="J109" i="42"/>
  <c r="V122" i="25"/>
  <c r="L70" i="97"/>
  <c r="N70" i="97" s="1"/>
  <c r="F70" i="97"/>
  <c r="X167" i="28"/>
  <c r="R167" i="28"/>
  <c r="V103" i="51"/>
  <c r="X226" i="15"/>
  <c r="Z226" i="15" s="1"/>
  <c r="R226" i="15"/>
  <c r="L109" i="42"/>
  <c r="N109" i="42" s="1"/>
  <c r="F109" i="42"/>
  <c r="N32" i="87"/>
  <c r="J32" i="87"/>
  <c r="X109" i="42"/>
  <c r="Z109" i="42" s="1"/>
  <c r="R109" i="42"/>
  <c r="X115" i="77"/>
  <c r="R115" i="77"/>
  <c r="Z88" i="79"/>
  <c r="Z85" i="70"/>
  <c r="V85" i="70"/>
  <c r="N70" i="48"/>
  <c r="J70" i="48"/>
  <c r="L89" i="64"/>
  <c r="N89" i="64" s="1"/>
  <c r="F89" i="64"/>
  <c r="L103" i="71"/>
  <c r="N103" i="71" s="1"/>
  <c r="F103" i="71"/>
  <c r="Z32" i="87"/>
  <c r="V32" i="87"/>
  <c r="N88" i="31"/>
  <c r="J88" i="31"/>
  <c r="L88" i="31"/>
  <c r="L122" i="66"/>
  <c r="F122" i="66"/>
  <c r="L122" i="25"/>
  <c r="N122" i="25" s="1"/>
  <c r="F122" i="25"/>
  <c r="Z117" i="36"/>
  <c r="V117" i="36"/>
  <c r="L91" i="94"/>
  <c r="N91" i="94" s="1"/>
  <c r="Z70" i="97"/>
  <c r="V70" i="97"/>
  <c r="L251" i="18"/>
  <c r="N251" i="18" s="1"/>
  <c r="F251" i="18"/>
  <c r="Z167" i="28"/>
  <c r="V167" i="28"/>
  <c r="L226" i="15"/>
  <c r="F226" i="15"/>
  <c r="L149" i="69"/>
  <c r="F149" i="69"/>
  <c r="L103" i="51"/>
  <c r="N103" i="51" s="1"/>
  <c r="F103" i="51"/>
  <c r="X122" i="66"/>
  <c r="Z122" i="66" s="1"/>
  <c r="R122" i="66"/>
  <c r="J103" i="51"/>
  <c r="L167" i="28"/>
  <c r="N167" i="28" s="1"/>
  <c r="F167" i="28"/>
  <c r="X89" i="64"/>
  <c r="Z89" i="64" s="1"/>
  <c r="R89" i="64"/>
  <c r="N86" i="92"/>
  <c r="J86" i="92"/>
  <c r="J167" i="28"/>
  <c r="N234" i="12"/>
  <c r="J234" i="12"/>
  <c r="N117" i="36"/>
  <c r="J117" i="36"/>
</calcChain>
</file>

<file path=xl/sharedStrings.xml><?xml version="1.0" encoding="utf-8"?>
<sst xmlns="http://schemas.openxmlformats.org/spreadsheetml/2006/main" count="2844" uniqueCount="315">
  <si>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</si>
  <si>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</si>
  <si>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</si>
  <si>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</si>
  <si>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</si>
  <si>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</si>
  <si>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</si>
  <si>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</si>
  <si>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</si>
  <si>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</si>
  <si>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</si>
  <si>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</si>
  <si>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</si>
  <si>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</si>
  <si>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</si>
  <si>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</si>
  <si>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</si>
  <si>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</si>
  <si>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</si>
  <si>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</si>
  <si>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</si>
  <si>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</si>
  <si>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</si>
  <si>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</si>
  <si>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</si>
  <si>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</si>
  <si>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</si>
  <si>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</si>
  <si>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</si>
  <si>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</si>
  <si>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</si>
  <si>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</si>
  <si>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</si>
  <si>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</si>
  <si>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</si>
  <si>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</si>
  <si>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</si>
  <si>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</si>
  <si>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</si>
  <si>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</si>
  <si>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</si>
  <si>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</si>
  <si>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</si>
  <si>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</si>
  <si>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</si>
  <si>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</si>
  <si>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</si>
  <si>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</si>
  <si>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</si>
  <si>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</si>
  <si>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</si>
  <si>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</si>
  <si>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</si>
  <si>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</si>
  <si>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</si>
  <si>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</si>
  <si>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</si>
  <si>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</si>
  <si>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</si>
  <si>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</si>
  <si>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</si>
  <si>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</si>
  <si>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</si>
  <si>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</si>
  <si>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</si>
  <si>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</si>
  <si>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</si>
  <si>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</si>
  <si>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</si>
  <si>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</si>
  <si>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</si>
  <si>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</si>
  <si>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</si>
  <si>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</si>
  <si>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</si>
  <si>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</si>
  <si>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</si>
  <si>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</si>
  <si>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</si>
  <si>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</si>
  <si>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</si>
  <si>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</si>
  <si>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</si>
  <si>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</si>
  <si>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</si>
  <si>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</si>
  <si>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</si>
  <si>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</si>
  <si>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</si>
  <si>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</si>
  <si>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</si>
  <si>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</si>
  <si>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</si>
  <si>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</si>
  <si>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</si>
  <si>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</si>
  <si>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</si>
  <si>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</si>
  <si>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</si>
  <si>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</si>
  <si>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</si>
  <si>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</si>
  <si>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</si>
  <si>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</si>
  <si>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</si>
  <si>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</si>
  <si>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</si>
  <si>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</si>
  <si>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</si>
  <si>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</si>
  <si>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</si>
  <si>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</si>
  <si>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</si>
  <si>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</si>
  <si>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</si>
  <si>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</si>
  <si>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</si>
  <si>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</si>
  <si>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</si>
  <si>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</si>
  <si>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</si>
  <si>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</si>
  <si>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</si>
  <si>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</si>
  <si>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</si>
  <si>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</si>
  <si>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</si>
  <si>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</si>
  <si>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</si>
  <si>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</si>
  <si>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</si>
  <si>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</si>
  <si>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</si>
  <si>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</si>
  <si>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</si>
  <si>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</si>
  <si>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</si>
  <si>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</si>
  <si>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</si>
  <si>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</si>
  <si>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</si>
  <si>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</si>
  <si>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</si>
  <si>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</si>
  <si>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</si>
  <si>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</si>
  <si>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</si>
  <si>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</si>
  <si>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</si>
  <si>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</si>
  <si>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</si>
  <si>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</si>
  <si>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</si>
  <si>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</si>
  <si>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</si>
  <si>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</si>
  <si>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</si>
  <si>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</si>
  <si>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</si>
  <si>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</si>
  <si>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</si>
  <si>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</si>
  <si>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</si>
  <si>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</si>
  <si>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</si>
  <si>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</si>
  <si>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</si>
  <si>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</si>
  <si>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</si>
  <si>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</si>
  <si>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</si>
  <si>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</si>
  <si>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</si>
  <si>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</si>
  <si>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</si>
  <si>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</si>
  <si>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</si>
  <si>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</si>
  <si>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</si>
  <si>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</si>
  <si>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</si>
  <si>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</si>
  <si>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</si>
  <si>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</si>
  <si>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</si>
  <si>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</si>
  <si>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</si>
  <si>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</si>
  <si>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</si>
  <si>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</si>
  <si>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</si>
  <si>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</si>
  <si>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</si>
  <si>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</si>
  <si>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</si>
  <si>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</si>
  <si>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</si>
  <si>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</si>
  <si>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</si>
  <si>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</si>
  <si>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</si>
  <si>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</si>
  <si>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</si>
  <si>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</si>
  <si>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</si>
  <si>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</si>
  <si>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</si>
  <si>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</si>
  <si>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</si>
  <si>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</si>
  <si>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</si>
  <si>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</si>
  <si>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</si>
  <si>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</si>
  <si>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</si>
  <si>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</si>
  <si>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</si>
  <si>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</si>
  <si>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</si>
  <si>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</si>
  <si>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</si>
  <si>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</si>
  <si>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</si>
  <si>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</si>
  <si>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</si>
  <si>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</si>
  <si>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</si>
  <si>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</si>
  <si>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</si>
  <si>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</si>
  <si>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</si>
  <si>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</si>
  <si>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</si>
  <si>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</si>
  <si>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</si>
  <si>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</si>
  <si>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</si>
  <si>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</si>
  <si>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</si>
  <si>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</si>
  <si>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</si>
  <si>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</si>
  <si>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</si>
  <si>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</si>
  <si>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</si>
  <si>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</si>
  <si>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</si>
  <si>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</si>
  <si>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</si>
  <si>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</si>
  <si>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</si>
  <si>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</si>
  <si>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</si>
  <si>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</si>
  <si>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</si>
  <si>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</si>
  <si>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</si>
  <si>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</si>
  <si>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</si>
  <si>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</si>
  <si>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</si>
  <si>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</si>
  <si>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</si>
  <si>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</si>
  <si>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</si>
  <si>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</si>
  <si>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</si>
  <si>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</si>
  <si>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</si>
  <si>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</si>
  <si>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</si>
  <si>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</si>
  <si>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</si>
  <si>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</si>
  <si>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</si>
  <si>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</si>
  <si>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</si>
  <si>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</si>
  <si>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</si>
  <si>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</si>
  <si>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</si>
  <si>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</si>
  <si>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</si>
  <si>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</si>
  <si>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</si>
  <si>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</si>
  <si>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</si>
  <si>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</si>
  <si>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</si>
  <si>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</si>
  <si>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</si>
  <si>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</si>
  <si>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</si>
  <si>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</si>
  <si>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</si>
  <si>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</si>
  <si>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</si>
  <si>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</si>
  <si>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</si>
  <si>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</si>
  <si>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</si>
  <si>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</si>
  <si>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</si>
  <si>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</si>
  <si>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</si>
  <si>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</si>
  <si>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</si>
  <si>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</si>
  <si>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</si>
  <si>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</si>
  <si>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</si>
  <si>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</si>
  <si>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</si>
  <si>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</si>
  <si>
    <t>Division 333 - Combined 307, 315, &amp; 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</si>
</sst>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0" fillId="0" borderId="0" xfId="0" applyBorder="1"/>
    <xf numFmtId="0" fontId="3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165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Fill="1" applyBorder="1"/>
    <xf numFmtId="0" fontId="4" fillId="0" borderId="0" xfId="0" applyFont="1" applyFill="1"/>
    <xf numFmtId="0" fontId="5" fillId="0" borderId="0" xfId="0" applyFon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80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5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6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76"/>
  <sheetViews>
    <sheetView tabSelected="1" zoomScale="80" workbookViewId="0">
      <pane xSplit="3" ySplit="10" topLeftCell="D212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1585129.57</v>
      </c>
      <c r="E12" s="4"/>
      <c r="F12" s="12"/>
      <c r="G12" s="4"/>
      <c r="H12" s="4">
        <f>SUM(OSRRefH13x_0)</f>
        <v>1462324.1500000001</v>
      </c>
      <c r="I12" s="4"/>
      <c r="J12" s="12"/>
      <c r="K12" s="4"/>
      <c r="L12" s="4">
        <f t="shared" ref="L12:L98" si="0">+D12-H12</f>
        <v>122805.41999999993</v>
      </c>
      <c r="M12" s="4"/>
      <c r="N12" s="12">
        <f t="shared" ref="N12:N98" si="1">IF(H12=0,0,L12/H12)</f>
        <v>8.3979615600275712E-2</v>
      </c>
      <c r="O12" s="10"/>
      <c r="P12" s="4">
        <f>SUM(OSRRefP13x_0)</f>
        <v>12960723.160000002</v>
      </c>
      <c r="Q12" s="4"/>
      <c r="R12" s="12"/>
      <c r="S12" s="4"/>
      <c r="T12" s="4">
        <f>SUM(OSRRefT13x_0)</f>
        <v>6605255.6599999983</v>
      </c>
      <c r="U12" s="4"/>
      <c r="V12" s="12"/>
      <c r="W12" s="4"/>
      <c r="X12" s="4">
        <f t="shared" ref="X12:X98" si="2">+P12-T12</f>
        <v>6355467.5000000037</v>
      </c>
      <c r="Y12" s="4"/>
      <c r="Z12" s="12">
        <f t="shared" ref="Z12:Z98" si="3">IF(T12=0,0,X12/T12)</f>
        <v>0.96218342288964565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--746972.12</f>
        <v>746972.12</v>
      </c>
      <c r="E13" s="2"/>
      <c r="F13" s="19"/>
      <c r="G13" s="2"/>
      <c r="H13" s="2">
        <f>-12518.13</f>
        <v>-12518.13</v>
      </c>
      <c r="I13" s="2"/>
      <c r="J13" s="19"/>
      <c r="K13" s="2"/>
      <c r="L13" s="2">
        <f t="shared" si="0"/>
        <v>759490.25</v>
      </c>
      <c r="M13" s="2"/>
      <c r="N13" s="19">
        <f t="shared" si="1"/>
        <v>-60.67122245894555</v>
      </c>
      <c r="O13" s="11"/>
      <c r="P13" s="2">
        <f>--4690905.23</f>
        <v>4690905.2300000004</v>
      </c>
      <c r="Q13" s="2"/>
      <c r="R13" s="19"/>
      <c r="S13" s="2"/>
      <c r="T13" s="2">
        <f>-103655.99</f>
        <v>-103655.99</v>
      </c>
      <c r="U13" s="2"/>
      <c r="V13" s="19"/>
      <c r="W13" s="2"/>
      <c r="X13" s="2">
        <f t="shared" si="2"/>
        <v>4794561.2200000007</v>
      </c>
      <c r="Y13" s="2"/>
      <c r="Z13" s="19">
        <f t="shared" si="3"/>
        <v>-46.254550460614965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--459430.32</f>
        <v>459430.32</v>
      </c>
      <c r="I14" s="2"/>
      <c r="J14" s="19"/>
      <c r="K14" s="2"/>
      <c r="L14" s="2">
        <f t="shared" si="0"/>
        <v>-459430.32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--1190096.34</f>
        <v>1190096.3400000001</v>
      </c>
      <c r="U14" s="2"/>
      <c r="V14" s="19"/>
      <c r="W14" s="2"/>
      <c r="X14" s="2">
        <f t="shared" si="2"/>
        <v>-1190096.3400000001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--238947.44</f>
        <v>238947.44</v>
      </c>
      <c r="I15" s="2"/>
      <c r="J15" s="19"/>
      <c r="K15" s="2"/>
      <c r="L15" s="2">
        <f t="shared" si="0"/>
        <v>-238947.44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--562401.5</f>
        <v>562401.5</v>
      </c>
      <c r="U15" s="2"/>
      <c r="V15" s="19"/>
      <c r="W15" s="2"/>
      <c r="X15" s="2">
        <f t="shared" si="2"/>
        <v>-562401.5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--34.62</f>
        <v>34.619999999999997</v>
      </c>
      <c r="I21" s="2"/>
      <c r="J21" s="19"/>
      <c r="K21" s="2"/>
      <c r="L21" s="2">
        <f t="shared" si="0"/>
        <v>-34.619999999999997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--407</f>
        <v>407</v>
      </c>
      <c r="U21" s="2"/>
      <c r="V21" s="19"/>
      <c r="W21" s="2"/>
      <c r="X21" s="2">
        <f t="shared" si="2"/>
        <v>-407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--8701.79</f>
        <v>8701.7900000000009</v>
      </c>
      <c r="I22" s="2"/>
      <c r="J22" s="19"/>
      <c r="K22" s="2"/>
      <c r="L22" s="2">
        <f t="shared" si="0"/>
        <v>-8701.7900000000009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--48676.22</f>
        <v>48676.22</v>
      </c>
      <c r="U22" s="2"/>
      <c r="V22" s="19"/>
      <c r="W22" s="2"/>
      <c r="X22" s="2">
        <f t="shared" si="2"/>
        <v>-48676.22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--21773.01</f>
        <v>21773.01</v>
      </c>
      <c r="I23" s="2"/>
      <c r="J23" s="19"/>
      <c r="K23" s="2"/>
      <c r="L23" s="2">
        <f t="shared" si="0"/>
        <v>-21773.01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--38951.82</f>
        <v>38951.82</v>
      </c>
      <c r="U23" s="2"/>
      <c r="V23" s="19"/>
      <c r="W23" s="2"/>
      <c r="X23" s="2">
        <f t="shared" si="2"/>
        <v>-38951.82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--477.59</f>
        <v>477.59</v>
      </c>
      <c r="I24" s="2"/>
      <c r="J24" s="19"/>
      <c r="K24" s="2"/>
      <c r="L24" s="2">
        <f t="shared" si="0"/>
        <v>-477.59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--2587.24</f>
        <v>2587.2399999999998</v>
      </c>
      <c r="U24" s="2"/>
      <c r="V24" s="19"/>
      <c r="W24" s="2"/>
      <c r="X24" s="2">
        <f t="shared" si="2"/>
        <v>-2587.2399999999998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--89991.91</f>
        <v>89991.91</v>
      </c>
      <c r="I27" s="2"/>
      <c r="J27" s="19"/>
      <c r="K27" s="2"/>
      <c r="L27" s="2">
        <f t="shared" si="0"/>
        <v>-89991.91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--598102.9</f>
        <v>598102.9</v>
      </c>
      <c r="U27" s="2"/>
      <c r="V27" s="19"/>
      <c r="W27" s="2"/>
      <c r="X27" s="2">
        <f t="shared" si="2"/>
        <v>-598102.9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--51480.95</f>
        <v>51480.95</v>
      </c>
      <c r="I28" s="2"/>
      <c r="J28" s="19"/>
      <c r="K28" s="2"/>
      <c r="L28" s="2">
        <f t="shared" si="0"/>
        <v>-51480.95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--249099.27</f>
        <v>249099.27</v>
      </c>
      <c r="U28" s="2"/>
      <c r="V28" s="19"/>
      <c r="W28" s="2"/>
      <c r="X28" s="2">
        <f t="shared" si="2"/>
        <v>-249099.27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--9303.18</f>
        <v>9303.18</v>
      </c>
      <c r="I29" s="2"/>
      <c r="J29" s="19"/>
      <c r="K29" s="2"/>
      <c r="L29" s="2">
        <f t="shared" si="0"/>
        <v>-9303.18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--74200.88</f>
        <v>74200.88</v>
      </c>
      <c r="U29" s="2"/>
      <c r="V29" s="19"/>
      <c r="W29" s="2"/>
      <c r="X29" s="2">
        <f t="shared" si="2"/>
        <v>-74200.88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--24845.66</f>
        <v>24845.66</v>
      </c>
      <c r="I30" s="2"/>
      <c r="J30" s="19"/>
      <c r="K30" s="2"/>
      <c r="L30" s="2">
        <f t="shared" si="0"/>
        <v>-24845.66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--117954.81</f>
        <v>117954.81</v>
      </c>
      <c r="U30" s="2"/>
      <c r="V30" s="19"/>
      <c r="W30" s="2"/>
      <c r="X30" s="2">
        <f t="shared" si="2"/>
        <v>-117954.81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--1261.95</f>
        <v>1261.95</v>
      </c>
      <c r="I31" s="2"/>
      <c r="J31" s="19"/>
      <c r="K31" s="2"/>
      <c r="L31" s="2">
        <f t="shared" si="0"/>
        <v>-1261.95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--27535.62</f>
        <v>27535.62</v>
      </c>
      <c r="U31" s="2"/>
      <c r="V31" s="19"/>
      <c r="W31" s="2"/>
      <c r="X31" s="2">
        <f t="shared" si="2"/>
        <v>-27535.62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--3388.52</f>
        <v>3388.52</v>
      </c>
      <c r="I32" s="2"/>
      <c r="J32" s="19"/>
      <c r="K32" s="2"/>
      <c r="L32" s="2">
        <f t="shared" si="0"/>
        <v>-3388.52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--125449.67</f>
        <v>125449.67</v>
      </c>
      <c r="U32" s="2"/>
      <c r="V32" s="19"/>
      <c r="W32" s="2"/>
      <c r="X32" s="2">
        <f t="shared" si="2"/>
        <v>-125449.67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--2376.57</f>
        <v>2376.5700000000002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2376.5700000000002</v>
      </c>
      <c r="M33" s="2"/>
      <c r="N33" s="19">
        <f t="shared" si="1"/>
        <v>0</v>
      </c>
      <c r="O33" s="11"/>
      <c r="P33" s="2">
        <f>--149359.36</f>
        <v>149359.35999999999</v>
      </c>
      <c r="Q33" s="2"/>
      <c r="R33" s="19"/>
      <c r="S33" s="2"/>
      <c r="T33" s="2">
        <f>--22964.48</f>
        <v>22964.48</v>
      </c>
      <c r="U33" s="2"/>
      <c r="V33" s="19"/>
      <c r="W33" s="2"/>
      <c r="X33" s="2">
        <f t="shared" si="2"/>
        <v>126394.87999999999</v>
      </c>
      <c r="Y33" s="2"/>
      <c r="Z33" s="19">
        <f t="shared" si="3"/>
        <v>5.5039295468480018</v>
      </c>
    </row>
    <row r="34" spans="1:26" s="24" customFormat="1" hidden="1" outlineLevel="1" x14ac:dyDescent="0.3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0</f>
        <v>0</v>
      </c>
      <c r="E34" s="2"/>
      <c r="F34" s="19"/>
      <c r="G34" s="2"/>
      <c r="H34" s="2">
        <f>--82073.46</f>
        <v>82073.460000000006</v>
      </c>
      <c r="I34" s="2"/>
      <c r="J34" s="19"/>
      <c r="K34" s="2"/>
      <c r="L34" s="2">
        <f t="shared" si="0"/>
        <v>-82073.460000000006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--230176.85</f>
        <v>230176.85</v>
      </c>
      <c r="U34" s="2"/>
      <c r="V34" s="19"/>
      <c r="W34" s="2"/>
      <c r="X34" s="2">
        <f t="shared" si="2"/>
        <v>-230176.85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--1512.98</f>
        <v>1512.98</v>
      </c>
      <c r="E35" s="2"/>
      <c r="F35" s="19"/>
      <c r="G35" s="2"/>
      <c r="H35" s="2">
        <f>--46.44</f>
        <v>46.44</v>
      </c>
      <c r="I35" s="2"/>
      <c r="J35" s="19"/>
      <c r="K35" s="2"/>
      <c r="L35" s="2">
        <f t="shared" si="0"/>
        <v>1466.54</v>
      </c>
      <c r="M35" s="2"/>
      <c r="N35" s="19">
        <f t="shared" si="1"/>
        <v>31.579242032730406</v>
      </c>
      <c r="O35" s="11"/>
      <c r="P35" s="2">
        <f>--12175.15</f>
        <v>12175.15</v>
      </c>
      <c r="Q35" s="2"/>
      <c r="R35" s="19"/>
      <c r="S35" s="2"/>
      <c r="T35" s="2">
        <f>--579.52</f>
        <v>579.52</v>
      </c>
      <c r="U35" s="2"/>
      <c r="V35" s="19"/>
      <c r="W35" s="2"/>
      <c r="X35" s="2">
        <f t="shared" si="2"/>
        <v>11595.63</v>
      </c>
      <c r="Y35" s="2"/>
      <c r="Z35" s="19">
        <f t="shared" si="3"/>
        <v>20.009024710104914</v>
      </c>
    </row>
    <row r="36" spans="1:26" s="24" customFormat="1" hidden="1" outlineLevel="1" x14ac:dyDescent="0.3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 t="shared" ref="D36:D41" si="7">0</f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41" si="8">0</f>
        <v>0</v>
      </c>
      <c r="Q36" s="2"/>
      <c r="R36" s="19"/>
      <c r="S36" s="2"/>
      <c r="T36" s="2">
        <f>--974.91</f>
        <v>974.91</v>
      </c>
      <c r="U36" s="2"/>
      <c r="V36" s="19"/>
      <c r="W36" s="2"/>
      <c r="X36" s="2">
        <f t="shared" si="2"/>
        <v>-974.91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 t="shared" si="7"/>
        <v>0</v>
      </c>
      <c r="E37" s="2"/>
      <c r="F37" s="19"/>
      <c r="G37" s="2"/>
      <c r="H37" s="2">
        <f>--2318.54</f>
        <v>2318.54</v>
      </c>
      <c r="I37" s="2"/>
      <c r="J37" s="19"/>
      <c r="K37" s="2"/>
      <c r="L37" s="2">
        <f t="shared" si="0"/>
        <v>-2318.54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--59270.01</f>
        <v>59270.01</v>
      </c>
      <c r="U37" s="2"/>
      <c r="V37" s="19"/>
      <c r="W37" s="2"/>
      <c r="X37" s="2">
        <f t="shared" si="2"/>
        <v>-59270.01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 t="shared" si="7"/>
        <v>0</v>
      </c>
      <c r="E38" s="2"/>
      <c r="F38" s="19"/>
      <c r="G38" s="2"/>
      <c r="H38" s="2">
        <f>--91766.28</f>
        <v>91766.28</v>
      </c>
      <c r="I38" s="2"/>
      <c r="J38" s="19"/>
      <c r="K38" s="2"/>
      <c r="L38" s="2">
        <f t="shared" si="0"/>
        <v>-91766.28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--1085023.17</f>
        <v>1085023.17</v>
      </c>
      <c r="U38" s="2"/>
      <c r="V38" s="19"/>
      <c r="W38" s="2"/>
      <c r="X38" s="2">
        <f t="shared" si="2"/>
        <v>-1085023.17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 t="shared" si="7"/>
        <v>0</v>
      </c>
      <c r="E39" s="2"/>
      <c r="F39" s="19"/>
      <c r="G39" s="2"/>
      <c r="H39" s="2">
        <f>--8639.61</f>
        <v>8639.61</v>
      </c>
      <c r="I39" s="2"/>
      <c r="J39" s="19"/>
      <c r="K39" s="2"/>
      <c r="L39" s="2">
        <f t="shared" si="0"/>
        <v>-8639.61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--93287.58</f>
        <v>93287.58</v>
      </c>
      <c r="U39" s="2"/>
      <c r="V39" s="19"/>
      <c r="W39" s="2"/>
      <c r="X39" s="2">
        <f t="shared" si="2"/>
        <v>-93287.58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 t="shared" si="7"/>
        <v>0</v>
      </c>
      <c r="E40" s="2"/>
      <c r="F40" s="19"/>
      <c r="G40" s="2"/>
      <c r="H40" s="2">
        <f>--149.99</f>
        <v>149.99</v>
      </c>
      <c r="I40" s="2"/>
      <c r="J40" s="19"/>
      <c r="K40" s="2"/>
      <c r="L40" s="2">
        <f t="shared" si="0"/>
        <v>-149.99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--2878.93</f>
        <v>2878.93</v>
      </c>
      <c r="U40" s="2"/>
      <c r="V40" s="19"/>
      <c r="W40" s="2"/>
      <c r="X40" s="2">
        <f t="shared" si="2"/>
        <v>-2878.93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 t="shared" si="7"/>
        <v>0</v>
      </c>
      <c r="E41" s="2"/>
      <c r="F41" s="19"/>
      <c r="G41" s="2"/>
      <c r="H41" s="2">
        <f>--734.26</f>
        <v>734.26</v>
      </c>
      <c r="I41" s="2"/>
      <c r="J41" s="19"/>
      <c r="K41" s="2"/>
      <c r="L41" s="2">
        <f t="shared" si="0"/>
        <v>-734.26</v>
      </c>
      <c r="M41" s="2"/>
      <c r="N41" s="19">
        <f t="shared" si="1"/>
        <v>-1</v>
      </c>
      <c r="O41" s="11"/>
      <c r="P41" s="2">
        <f t="shared" si="8"/>
        <v>0</v>
      </c>
      <c r="Q41" s="2"/>
      <c r="R41" s="19"/>
      <c r="S41" s="2"/>
      <c r="T41" s="2">
        <f>--57869.84</f>
        <v>57869.84</v>
      </c>
      <c r="U41" s="2"/>
      <c r="V41" s="19"/>
      <c r="W41" s="2"/>
      <c r="X41" s="2">
        <f t="shared" si="2"/>
        <v>-57869.84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"4100", " - ", "NON-TAXABLE SALES")</f>
        <v xml:space="preserve">          4100 - NON-TAXABLE SALES</v>
      </c>
      <c r="C42" s="11"/>
      <c r="D42" s="2">
        <f>--232001.54</f>
        <v>232001.54</v>
      </c>
      <c r="E42" s="2"/>
      <c r="F42" s="19"/>
      <c r="G42" s="2"/>
      <c r="H42" s="2">
        <f>--146952.19</f>
        <v>146952.19</v>
      </c>
      <c r="I42" s="2"/>
      <c r="J42" s="19"/>
      <c r="K42" s="2"/>
      <c r="L42" s="2">
        <f t="shared" si="0"/>
        <v>85049.35</v>
      </c>
      <c r="M42" s="2"/>
      <c r="N42" s="19">
        <f t="shared" si="1"/>
        <v>0.57875524005460555</v>
      </c>
      <c r="O42" s="11"/>
      <c r="P42" s="2">
        <f>--1651874.19</f>
        <v>1651874.19</v>
      </c>
      <c r="Q42" s="2"/>
      <c r="R42" s="19"/>
      <c r="S42" s="2"/>
      <c r="T42" s="2">
        <f>--648211.86</f>
        <v>648211.86</v>
      </c>
      <c r="U42" s="2"/>
      <c r="V42" s="19"/>
      <c r="W42" s="2"/>
      <c r="X42" s="2">
        <f t="shared" si="2"/>
        <v>1003662.33</v>
      </c>
      <c r="Y42" s="2"/>
      <c r="Z42" s="19">
        <f t="shared" si="3"/>
        <v>1.5483553941762189</v>
      </c>
    </row>
    <row r="43" spans="1:26" s="24" customFormat="1" hidden="1" outlineLevel="1" x14ac:dyDescent="0.3">
      <c r="A43" s="44"/>
      <c r="B43" s="11" t="str">
        <f>CONCATENATE("          ", "4101", " - ", "NON-TAXABLE SALES-NEW TEXT")</f>
        <v xml:space="preserve">          4101 - NON-TAXABLE SALES-NEW TEXT</v>
      </c>
      <c r="C43" s="11"/>
      <c r="D43" s="2">
        <f t="shared" ref="D43:D64" si="9">0</f>
        <v>0</v>
      </c>
      <c r="E43" s="2"/>
      <c r="F43" s="19"/>
      <c r="G43" s="2"/>
      <c r="H43" s="2">
        <f>--22084.7</f>
        <v>22084.7</v>
      </c>
      <c r="I43" s="2"/>
      <c r="J43" s="19"/>
      <c r="K43" s="2"/>
      <c r="L43" s="2">
        <f t="shared" si="0"/>
        <v>-22084.7</v>
      </c>
      <c r="M43" s="2"/>
      <c r="N43" s="19">
        <f t="shared" si="1"/>
        <v>-1</v>
      </c>
      <c r="O43" s="11"/>
      <c r="P43" s="2">
        <f t="shared" ref="P43:P64" si="10">0</f>
        <v>0</v>
      </c>
      <c r="Q43" s="2"/>
      <c r="R43" s="19"/>
      <c r="S43" s="2"/>
      <c r="T43" s="2">
        <f>--104225.63</f>
        <v>104225.63</v>
      </c>
      <c r="U43" s="2"/>
      <c r="V43" s="19"/>
      <c r="W43" s="2"/>
      <c r="X43" s="2">
        <f t="shared" si="2"/>
        <v>-104225.63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"4102", " - ", "NON-TAXABLE SALES-USED TEXT")</f>
        <v xml:space="preserve">          4102 - NON-TAXABLE SALES-USED TEXT</v>
      </c>
      <c r="C44" s="11"/>
      <c r="D44" s="2">
        <f t="shared" si="9"/>
        <v>0</v>
      </c>
      <c r="E44" s="2"/>
      <c r="F44" s="19"/>
      <c r="G44" s="2"/>
      <c r="H44" s="2">
        <f>--9330.01</f>
        <v>9330.01</v>
      </c>
      <c r="I44" s="2"/>
      <c r="J44" s="19"/>
      <c r="K44" s="2"/>
      <c r="L44" s="2">
        <f t="shared" si="0"/>
        <v>-9330.01</v>
      </c>
      <c r="M44" s="2"/>
      <c r="N44" s="19">
        <f t="shared" si="1"/>
        <v>-1</v>
      </c>
      <c r="O44" s="11"/>
      <c r="P44" s="2">
        <f t="shared" si="10"/>
        <v>0</v>
      </c>
      <c r="Q44" s="2"/>
      <c r="R44" s="19"/>
      <c r="S44" s="2"/>
      <c r="T44" s="2">
        <f>--42961.32</f>
        <v>42961.32</v>
      </c>
      <c r="U44" s="2"/>
      <c r="V44" s="19"/>
      <c r="W44" s="2"/>
      <c r="X44" s="2">
        <f t="shared" si="2"/>
        <v>-42961.32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 t="shared" si="9"/>
        <v>0</v>
      </c>
      <c r="E45" s="2"/>
      <c r="F45" s="19"/>
      <c r="G45" s="2"/>
      <c r="H45" s="2">
        <f>--853.98</f>
        <v>853.98</v>
      </c>
      <c r="I45" s="2"/>
      <c r="J45" s="19"/>
      <c r="K45" s="2"/>
      <c r="L45" s="2">
        <f t="shared" si="0"/>
        <v>-853.98</v>
      </c>
      <c r="M45" s="2"/>
      <c r="N45" s="19">
        <f t="shared" si="1"/>
        <v>-1</v>
      </c>
      <c r="O45" s="11"/>
      <c r="P45" s="2">
        <f t="shared" si="10"/>
        <v>0</v>
      </c>
      <c r="Q45" s="2"/>
      <c r="R45" s="19"/>
      <c r="S45" s="2"/>
      <c r="T45" s="2">
        <f>--1138.95</f>
        <v>1138.95</v>
      </c>
      <c r="U45" s="2"/>
      <c r="V45" s="19"/>
      <c r="W45" s="2"/>
      <c r="X45" s="2">
        <f t="shared" si="2"/>
        <v>-1138.95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 t="shared" si="9"/>
        <v>0</v>
      </c>
      <c r="E46" s="2"/>
      <c r="F46" s="19"/>
      <c r="G46" s="2"/>
      <c r="H46" s="2">
        <f>--161977.12</f>
        <v>161977.12</v>
      </c>
      <c r="I46" s="2"/>
      <c r="J46" s="19"/>
      <c r="K46" s="2"/>
      <c r="L46" s="2">
        <f t="shared" si="0"/>
        <v>-161977.12</v>
      </c>
      <c r="M46" s="2"/>
      <c r="N46" s="19">
        <f t="shared" si="1"/>
        <v>-1</v>
      </c>
      <c r="O46" s="11"/>
      <c r="P46" s="2">
        <f t="shared" si="10"/>
        <v>0</v>
      </c>
      <c r="Q46" s="2"/>
      <c r="R46" s="19"/>
      <c r="S46" s="2"/>
      <c r="T46" s="2">
        <f>--458168.13</f>
        <v>458168.13</v>
      </c>
      <c r="U46" s="2"/>
      <c r="V46" s="19"/>
      <c r="W46" s="2"/>
      <c r="X46" s="2">
        <f t="shared" si="2"/>
        <v>-458168.13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 t="shared" si="9"/>
        <v>0</v>
      </c>
      <c r="E47" s="2"/>
      <c r="F47" s="19"/>
      <c r="G47" s="2"/>
      <c r="H47" s="2">
        <f>--4661.75</f>
        <v>4661.75</v>
      </c>
      <c r="I47" s="2"/>
      <c r="J47" s="19"/>
      <c r="K47" s="2"/>
      <c r="L47" s="2">
        <f t="shared" si="0"/>
        <v>-4661.75</v>
      </c>
      <c r="M47" s="2"/>
      <c r="N47" s="19">
        <f t="shared" si="1"/>
        <v>-1</v>
      </c>
      <c r="O47" s="11"/>
      <c r="P47" s="2">
        <f t="shared" si="10"/>
        <v>0</v>
      </c>
      <c r="Q47" s="2"/>
      <c r="R47" s="19"/>
      <c r="S47" s="2"/>
      <c r="T47" s="2">
        <f>--6989.25</f>
        <v>6989.25</v>
      </c>
      <c r="U47" s="2"/>
      <c r="V47" s="19"/>
      <c r="W47" s="2"/>
      <c r="X47" s="2">
        <f t="shared" si="2"/>
        <v>-6989.25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 t="shared" si="9"/>
        <v>0</v>
      </c>
      <c r="E48" s="2"/>
      <c r="F48" s="19"/>
      <c r="G48" s="2"/>
      <c r="H48" s="2">
        <f>--538.3</f>
        <v>538.29999999999995</v>
      </c>
      <c r="I48" s="2"/>
      <c r="J48" s="19"/>
      <c r="K48" s="2"/>
      <c r="L48" s="2">
        <f t="shared" si="0"/>
        <v>-538.29999999999995</v>
      </c>
      <c r="M48" s="2"/>
      <c r="N48" s="19">
        <f t="shared" si="1"/>
        <v>-1</v>
      </c>
      <c r="O48" s="11"/>
      <c r="P48" s="2">
        <f t="shared" si="10"/>
        <v>0</v>
      </c>
      <c r="Q48" s="2"/>
      <c r="R48" s="19"/>
      <c r="S48" s="2"/>
      <c r="T48" s="2">
        <f>--771.73</f>
        <v>771.73</v>
      </c>
      <c r="U48" s="2"/>
      <c r="V48" s="19"/>
      <c r="W48" s="2"/>
      <c r="X48" s="2">
        <f t="shared" si="2"/>
        <v>-771.73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 t="shared" si="9"/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0"/>
        <v>0</v>
      </c>
      <c r="Q49" s="2"/>
      <c r="R49" s="19"/>
      <c r="S49" s="2"/>
      <c r="T49" s="2">
        <f>--52.68</f>
        <v>52.68</v>
      </c>
      <c r="U49" s="2"/>
      <c r="V49" s="19"/>
      <c r="W49" s="2"/>
      <c r="X49" s="2">
        <f t="shared" si="2"/>
        <v>-52.68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 t="shared" si="9"/>
        <v>0</v>
      </c>
      <c r="E50" s="2"/>
      <c r="F50" s="19"/>
      <c r="G50" s="2"/>
      <c r="H50" s="2">
        <f>--2539.06</f>
        <v>2539.06</v>
      </c>
      <c r="I50" s="2"/>
      <c r="J50" s="19"/>
      <c r="K50" s="2"/>
      <c r="L50" s="2">
        <f t="shared" si="0"/>
        <v>-2539.06</v>
      </c>
      <c r="M50" s="2"/>
      <c r="N50" s="19">
        <f t="shared" si="1"/>
        <v>-1</v>
      </c>
      <c r="O50" s="11"/>
      <c r="P50" s="2">
        <f t="shared" si="10"/>
        <v>0</v>
      </c>
      <c r="Q50" s="2"/>
      <c r="R50" s="19"/>
      <c r="S50" s="2"/>
      <c r="T50" s="2">
        <f>--5745.17</f>
        <v>5745.17</v>
      </c>
      <c r="U50" s="2"/>
      <c r="V50" s="19"/>
      <c r="W50" s="2"/>
      <c r="X50" s="2">
        <f t="shared" si="2"/>
        <v>-5745.17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"4128", " - ", "NON-TAXABLE SALES-ART/TECH")</f>
        <v xml:space="preserve">          4128 - NON-TAXABLE SALES-ART/TECH</v>
      </c>
      <c r="C51" s="11"/>
      <c r="D51" s="2">
        <f t="shared" si="9"/>
        <v>0</v>
      </c>
      <c r="E51" s="2"/>
      <c r="F51" s="19"/>
      <c r="G51" s="2"/>
      <c r="H51" s="2">
        <f>--4.72</f>
        <v>4.72</v>
      </c>
      <c r="I51" s="2"/>
      <c r="J51" s="19"/>
      <c r="K51" s="2"/>
      <c r="L51" s="2">
        <f t="shared" si="0"/>
        <v>-4.72</v>
      </c>
      <c r="M51" s="2"/>
      <c r="N51" s="19">
        <f t="shared" si="1"/>
        <v>-1</v>
      </c>
      <c r="O51" s="11"/>
      <c r="P51" s="2">
        <f t="shared" si="10"/>
        <v>0</v>
      </c>
      <c r="Q51" s="2"/>
      <c r="R51" s="19"/>
      <c r="S51" s="2"/>
      <c r="T51" s="2">
        <f>--29.5</f>
        <v>29.5</v>
      </c>
      <c r="U51" s="2"/>
      <c r="V51" s="19"/>
      <c r="W51" s="2"/>
      <c r="X51" s="2">
        <f t="shared" si="2"/>
        <v>-29.5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"4131", " - ", "NON-TAXABLE SALES-FOOD")</f>
        <v xml:space="preserve">          4131 - NON-TAXABLE SALES-FOOD</v>
      </c>
      <c r="C52" s="11"/>
      <c r="D52" s="2">
        <f t="shared" si="9"/>
        <v>0</v>
      </c>
      <c r="E52" s="2"/>
      <c r="F52" s="19"/>
      <c r="G52" s="2"/>
      <c r="H52" s="2">
        <f>--1098.12</f>
        <v>1098.1199999999999</v>
      </c>
      <c r="I52" s="2"/>
      <c r="J52" s="19"/>
      <c r="K52" s="2"/>
      <c r="L52" s="2">
        <f t="shared" si="0"/>
        <v>-1098.1199999999999</v>
      </c>
      <c r="M52" s="2"/>
      <c r="N52" s="19">
        <f t="shared" si="1"/>
        <v>-1</v>
      </c>
      <c r="O52" s="11"/>
      <c r="P52" s="2">
        <f t="shared" si="10"/>
        <v>0</v>
      </c>
      <c r="Q52" s="2"/>
      <c r="R52" s="19"/>
      <c r="S52" s="2"/>
      <c r="T52" s="2">
        <f>--8640.27</f>
        <v>8640.27</v>
      </c>
      <c r="U52" s="2"/>
      <c r="V52" s="19"/>
      <c r="W52" s="2"/>
      <c r="X52" s="2">
        <f t="shared" si="2"/>
        <v>-8640.27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si="9"/>
        <v>0</v>
      </c>
      <c r="E53" s="2"/>
      <c r="F53" s="19"/>
      <c r="G53" s="2"/>
      <c r="H53" s="2">
        <f t="shared" ref="H53:H56" si="11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0"/>
        <v>0</v>
      </c>
      <c r="Q53" s="2"/>
      <c r="R53" s="19"/>
      <c r="S53" s="2"/>
      <c r="T53" s="2">
        <f>--2054.37</f>
        <v>2054.37</v>
      </c>
      <c r="U53" s="2"/>
      <c r="V53" s="19"/>
      <c r="W53" s="2"/>
      <c r="X53" s="2">
        <f t="shared" si="2"/>
        <v>-2054.37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9"/>
        <v>0</v>
      </c>
      <c r="E54" s="2"/>
      <c r="F54" s="19"/>
      <c r="G54" s="2"/>
      <c r="H54" s="2">
        <f t="shared" si="11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0"/>
        <v>0</v>
      </c>
      <c r="Q54" s="2"/>
      <c r="R54" s="19"/>
      <c r="S54" s="2"/>
      <c r="T54" s="2">
        <f>--80.71</f>
        <v>80.709999999999994</v>
      </c>
      <c r="U54" s="2"/>
      <c r="V54" s="19"/>
      <c r="W54" s="2"/>
      <c r="X54" s="2">
        <f t="shared" si="2"/>
        <v>-80.709999999999994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9"/>
        <v>0</v>
      </c>
      <c r="E55" s="2"/>
      <c r="F55" s="19"/>
      <c r="G55" s="2"/>
      <c r="H55" s="2">
        <f t="shared" si="11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0"/>
        <v>0</v>
      </c>
      <c r="Q55" s="2"/>
      <c r="R55" s="19"/>
      <c r="S55" s="2"/>
      <c r="T55" s="2">
        <f>--45.53</f>
        <v>45.53</v>
      </c>
      <c r="U55" s="2"/>
      <c r="V55" s="19"/>
      <c r="W55" s="2"/>
      <c r="X55" s="2">
        <f t="shared" si="2"/>
        <v>-45.53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9"/>
        <v>0</v>
      </c>
      <c r="E56" s="2"/>
      <c r="F56" s="19"/>
      <c r="G56" s="2"/>
      <c r="H56" s="2">
        <f t="shared" si="11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10"/>
        <v>0</v>
      </c>
      <c r="Q56" s="2"/>
      <c r="R56" s="19"/>
      <c r="S56" s="2"/>
      <c r="T56" s="2">
        <f>--68.25</f>
        <v>68.25</v>
      </c>
      <c r="U56" s="2"/>
      <c r="V56" s="19"/>
      <c r="W56" s="2"/>
      <c r="X56" s="2">
        <f t="shared" si="2"/>
        <v>-68.25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 t="shared" si="9"/>
        <v>0</v>
      </c>
      <c r="E57" s="2"/>
      <c r="F57" s="19"/>
      <c r="G57" s="2"/>
      <c r="H57" s="2">
        <f>--9206.45</f>
        <v>9206.4500000000007</v>
      </c>
      <c r="I57" s="2"/>
      <c r="J57" s="19"/>
      <c r="K57" s="2"/>
      <c r="L57" s="2">
        <f t="shared" si="0"/>
        <v>-9206.4500000000007</v>
      </c>
      <c r="M57" s="2"/>
      <c r="N57" s="19">
        <f t="shared" si="1"/>
        <v>-1</v>
      </c>
      <c r="O57" s="11"/>
      <c r="P57" s="2">
        <f t="shared" si="10"/>
        <v>0</v>
      </c>
      <c r="Q57" s="2"/>
      <c r="R57" s="19"/>
      <c r="S57" s="2"/>
      <c r="T57" s="2">
        <f>--113177.42</f>
        <v>113177.42</v>
      </c>
      <c r="U57" s="2"/>
      <c r="V57" s="19"/>
      <c r="W57" s="2"/>
      <c r="X57" s="2">
        <f t="shared" si="2"/>
        <v>-113177.42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"4141", " - ", "NON-TAXABLE SALES-LOGO GIFTS")</f>
        <v xml:space="preserve">          4141 - NON-TAXABLE SALES-LOGO GIFTS</v>
      </c>
      <c r="C58" s="11"/>
      <c r="D58" s="2">
        <f t="shared" si="9"/>
        <v>0</v>
      </c>
      <c r="E58" s="2"/>
      <c r="F58" s="19"/>
      <c r="G58" s="2"/>
      <c r="H58" s="2">
        <f>--1872.52</f>
        <v>1872.52</v>
      </c>
      <c r="I58" s="2"/>
      <c r="J58" s="19"/>
      <c r="K58" s="2"/>
      <c r="L58" s="2">
        <f t="shared" si="0"/>
        <v>-1872.52</v>
      </c>
      <c r="M58" s="2"/>
      <c r="N58" s="19">
        <f t="shared" si="1"/>
        <v>-1</v>
      </c>
      <c r="O58" s="11"/>
      <c r="P58" s="2">
        <f t="shared" si="10"/>
        <v>0</v>
      </c>
      <c r="Q58" s="2"/>
      <c r="R58" s="19"/>
      <c r="S58" s="2"/>
      <c r="T58" s="2">
        <f>--7841.77</f>
        <v>7841.77</v>
      </c>
      <c r="U58" s="2"/>
      <c r="V58" s="19"/>
      <c r="W58" s="2"/>
      <c r="X58" s="2">
        <f t="shared" si="2"/>
        <v>-7841.77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 t="shared" si="9"/>
        <v>0</v>
      </c>
      <c r="E59" s="2"/>
      <c r="F59" s="19"/>
      <c r="G59" s="2"/>
      <c r="H59" s="2">
        <f>--51.7</f>
        <v>51.7</v>
      </c>
      <c r="I59" s="2"/>
      <c r="J59" s="19"/>
      <c r="K59" s="2"/>
      <c r="L59" s="2">
        <f t="shared" si="0"/>
        <v>-51.7</v>
      </c>
      <c r="M59" s="2"/>
      <c r="N59" s="19">
        <f t="shared" si="1"/>
        <v>-1</v>
      </c>
      <c r="O59" s="11"/>
      <c r="P59" s="2">
        <f t="shared" si="10"/>
        <v>0</v>
      </c>
      <c r="Q59" s="2"/>
      <c r="R59" s="19"/>
      <c r="S59" s="2"/>
      <c r="T59" s="2">
        <f>--2259.89</f>
        <v>2259.89</v>
      </c>
      <c r="U59" s="2"/>
      <c r="V59" s="19"/>
      <c r="W59" s="2"/>
      <c r="X59" s="2">
        <f t="shared" si="2"/>
        <v>-2259.89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"4143", " - ", "NON-TAXABLE SALES-CARDS")</f>
        <v xml:space="preserve">          4143 - NON-TAXABLE SALES-CARDS</v>
      </c>
      <c r="C60" s="11"/>
      <c r="D60" s="2">
        <f t="shared" si="9"/>
        <v>0</v>
      </c>
      <c r="E60" s="2"/>
      <c r="F60" s="19"/>
      <c r="G60" s="2"/>
      <c r="H60" s="2">
        <f>--232.71</f>
        <v>232.71</v>
      </c>
      <c r="I60" s="2"/>
      <c r="J60" s="19"/>
      <c r="K60" s="2"/>
      <c r="L60" s="2">
        <f t="shared" si="0"/>
        <v>-232.71</v>
      </c>
      <c r="M60" s="2"/>
      <c r="N60" s="19">
        <f t="shared" si="1"/>
        <v>-1</v>
      </c>
      <c r="O60" s="11"/>
      <c r="P60" s="2">
        <f t="shared" si="10"/>
        <v>0</v>
      </c>
      <c r="Q60" s="2"/>
      <c r="R60" s="19"/>
      <c r="S60" s="2"/>
      <c r="T60" s="2">
        <f>--1969.74</f>
        <v>1969.74</v>
      </c>
      <c r="U60" s="2"/>
      <c r="V60" s="19"/>
      <c r="W60" s="2"/>
      <c r="X60" s="2">
        <f t="shared" si="2"/>
        <v>-1969.74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 t="shared" si="9"/>
        <v>0</v>
      </c>
      <c r="E61" s="2"/>
      <c r="F61" s="19"/>
      <c r="G61" s="2"/>
      <c r="H61" s="2">
        <f>--119.9</f>
        <v>119.9</v>
      </c>
      <c r="I61" s="2"/>
      <c r="J61" s="19"/>
      <c r="K61" s="2"/>
      <c r="L61" s="2">
        <f t="shared" si="0"/>
        <v>-119.9</v>
      </c>
      <c r="M61" s="2"/>
      <c r="N61" s="19">
        <f t="shared" si="1"/>
        <v>-1</v>
      </c>
      <c r="O61" s="11"/>
      <c r="P61" s="2">
        <f t="shared" si="10"/>
        <v>0</v>
      </c>
      <c r="Q61" s="2"/>
      <c r="R61" s="19"/>
      <c r="S61" s="2"/>
      <c r="T61" s="2">
        <f>--609.4</f>
        <v>609.4</v>
      </c>
      <c r="U61" s="2"/>
      <c r="V61" s="19"/>
      <c r="W61" s="2"/>
      <c r="X61" s="2">
        <f t="shared" si="2"/>
        <v>-609.4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 t="shared" si="9"/>
        <v>0</v>
      </c>
      <c r="E62" s="2"/>
      <c r="F62" s="19"/>
      <c r="G62" s="2"/>
      <c r="H62" s="2">
        <f>-1677.68</f>
        <v>-1677.68</v>
      </c>
      <c r="I62" s="2"/>
      <c r="J62" s="19"/>
      <c r="K62" s="2"/>
      <c r="L62" s="2">
        <f t="shared" si="0"/>
        <v>1677.68</v>
      </c>
      <c r="M62" s="2"/>
      <c r="N62" s="19">
        <f t="shared" si="1"/>
        <v>-1</v>
      </c>
      <c r="O62" s="11"/>
      <c r="P62" s="2">
        <f t="shared" si="10"/>
        <v>0</v>
      </c>
      <c r="Q62" s="2"/>
      <c r="R62" s="19"/>
      <c r="S62" s="2"/>
      <c r="T62" s="2">
        <f>--53716.09</f>
        <v>53716.09</v>
      </c>
      <c r="U62" s="2"/>
      <c r="V62" s="19"/>
      <c r="W62" s="2"/>
      <c r="X62" s="2">
        <f t="shared" si="2"/>
        <v>-53716.09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 t="shared" si="9"/>
        <v>0</v>
      </c>
      <c r="E63" s="2"/>
      <c r="F63" s="19"/>
      <c r="G63" s="2"/>
      <c r="H63" s="2">
        <f>--12.7</f>
        <v>12.7</v>
      </c>
      <c r="I63" s="2"/>
      <c r="J63" s="19"/>
      <c r="K63" s="2"/>
      <c r="L63" s="2">
        <f t="shared" si="0"/>
        <v>-12.7</v>
      </c>
      <c r="M63" s="2"/>
      <c r="N63" s="19">
        <f t="shared" si="1"/>
        <v>-1</v>
      </c>
      <c r="O63" s="11"/>
      <c r="P63" s="2">
        <f t="shared" si="10"/>
        <v>0</v>
      </c>
      <c r="Q63" s="2"/>
      <c r="R63" s="19"/>
      <c r="S63" s="2"/>
      <c r="T63" s="2">
        <f>--140.6</f>
        <v>140.6</v>
      </c>
      <c r="U63" s="2"/>
      <c r="V63" s="19"/>
      <c r="W63" s="2"/>
      <c r="X63" s="2">
        <f t="shared" si="2"/>
        <v>-140.6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"4147", " - ", "NON-TAXABLE SALES-MISC")</f>
        <v xml:space="preserve">          4147 - NON-TAXABLE SALES-MISC</v>
      </c>
      <c r="C64" s="11"/>
      <c r="D64" s="2">
        <f t="shared" si="9"/>
        <v>0</v>
      </c>
      <c r="E64" s="2"/>
      <c r="F64" s="19"/>
      <c r="G64" s="2"/>
      <c r="H64" s="2">
        <f>--11</f>
        <v>11</v>
      </c>
      <c r="I64" s="2"/>
      <c r="J64" s="19"/>
      <c r="K64" s="2"/>
      <c r="L64" s="2">
        <f t="shared" si="0"/>
        <v>-11</v>
      </c>
      <c r="M64" s="2"/>
      <c r="N64" s="19">
        <f t="shared" si="1"/>
        <v>-1</v>
      </c>
      <c r="O64" s="11"/>
      <c r="P64" s="2">
        <f t="shared" si="10"/>
        <v>0</v>
      </c>
      <c r="Q64" s="2"/>
      <c r="R64" s="19"/>
      <c r="S64" s="2"/>
      <c r="T64" s="2">
        <f>--115.5</f>
        <v>115.5</v>
      </c>
      <c r="U64" s="2"/>
      <c r="V64" s="19"/>
      <c r="W64" s="2"/>
      <c r="X64" s="2">
        <f t="shared" si="2"/>
        <v>-115.5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"4151", " - ", "NON-TAXABLE SALES-FOOD")</f>
        <v xml:space="preserve">          4151 - NON-TAXABLE SALES-FOOD</v>
      </c>
      <c r="C65" s="11"/>
      <c r="D65" s="2">
        <f>--637954.74</f>
        <v>637954.74</v>
      </c>
      <c r="E65" s="2"/>
      <c r="F65" s="19"/>
      <c r="G65" s="2"/>
      <c r="H65" s="2">
        <f>--35996.95</f>
        <v>35996.949999999997</v>
      </c>
      <c r="I65" s="2"/>
      <c r="J65" s="19"/>
      <c r="K65" s="2"/>
      <c r="L65" s="2">
        <f t="shared" si="0"/>
        <v>601957.79</v>
      </c>
      <c r="M65" s="2"/>
      <c r="N65" s="19">
        <f t="shared" si="1"/>
        <v>16.722466486744018</v>
      </c>
      <c r="O65" s="11"/>
      <c r="P65" s="2">
        <f>--6806400.41</f>
        <v>6806400.4100000001</v>
      </c>
      <c r="Q65" s="2"/>
      <c r="R65" s="19"/>
      <c r="S65" s="2"/>
      <c r="T65" s="2">
        <f>--664373.55</f>
        <v>664373.55000000005</v>
      </c>
      <c r="U65" s="2"/>
      <c r="V65" s="19"/>
      <c r="W65" s="2"/>
      <c r="X65" s="2">
        <f t="shared" si="2"/>
        <v>6142026.8600000003</v>
      </c>
      <c r="Y65" s="2"/>
      <c r="Z65" s="19">
        <f t="shared" si="3"/>
        <v>9.2448395334221232</v>
      </c>
    </row>
    <row r="66" spans="1:26" s="24" customFormat="1" hidden="1" outlineLevel="1" x14ac:dyDescent="0.3">
      <c r="A66" s="44"/>
      <c r="B66" s="11" t="str">
        <f>CONCATENATE("          ", "4153", " - ", "NON-TAXABLE SALES-FOOD")</f>
        <v xml:space="preserve">          4153 - NON-TAXABLE SALES-FOOD</v>
      </c>
      <c r="C66" s="11"/>
      <c r="D66" s="2">
        <f>--5015.33</f>
        <v>5015.33</v>
      </c>
      <c r="E66" s="2"/>
      <c r="F66" s="19"/>
      <c r="G66" s="2"/>
      <c r="H66" s="2">
        <f>--2207.76</f>
        <v>2207.7600000000002</v>
      </c>
      <c r="I66" s="2"/>
      <c r="J66" s="19"/>
      <c r="K66" s="2"/>
      <c r="L66" s="2">
        <f t="shared" si="0"/>
        <v>2807.5699999999997</v>
      </c>
      <c r="M66" s="2"/>
      <c r="N66" s="19">
        <f t="shared" si="1"/>
        <v>1.2716826104286696</v>
      </c>
      <c r="O66" s="11"/>
      <c r="P66" s="2">
        <f>--61481.32</f>
        <v>61481.32</v>
      </c>
      <c r="Q66" s="2"/>
      <c r="R66" s="19"/>
      <c r="S66" s="2"/>
      <c r="T66" s="2">
        <f>--32079.16</f>
        <v>32079.16</v>
      </c>
      <c r="U66" s="2"/>
      <c r="V66" s="19"/>
      <c r="W66" s="2"/>
      <c r="X66" s="2">
        <f t="shared" si="2"/>
        <v>29402.16</v>
      </c>
      <c r="Y66" s="2"/>
      <c r="Z66" s="19">
        <f t="shared" si="3"/>
        <v>0.91655018398237365</v>
      </c>
    </row>
    <row r="67" spans="1:26" s="24" customFormat="1" hidden="1" outlineLevel="1" x14ac:dyDescent="0.3">
      <c r="A67" s="44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 t="shared" ref="D67:D71" si="12">0</f>
        <v>0</v>
      </c>
      <c r="E67" s="2"/>
      <c r="F67" s="19"/>
      <c r="G67" s="2"/>
      <c r="H67" s="2">
        <f>--2038.6</f>
        <v>2038.6</v>
      </c>
      <c r="I67" s="2"/>
      <c r="J67" s="19"/>
      <c r="K67" s="2"/>
      <c r="L67" s="2">
        <f t="shared" si="0"/>
        <v>-2038.6</v>
      </c>
      <c r="M67" s="2"/>
      <c r="N67" s="19">
        <f t="shared" si="1"/>
        <v>-1</v>
      </c>
      <c r="O67" s="11"/>
      <c r="P67" s="2">
        <f t="shared" ref="P67:P71" si="13">0</f>
        <v>0</v>
      </c>
      <c r="Q67" s="2"/>
      <c r="R67" s="19"/>
      <c r="S67" s="2"/>
      <c r="T67" s="2">
        <f>--5572.72</f>
        <v>5572.72</v>
      </c>
      <c r="U67" s="2"/>
      <c r="V67" s="19"/>
      <c r="W67" s="2"/>
      <c r="X67" s="2">
        <f t="shared" si="2"/>
        <v>-5572.72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 t="shared" si="12"/>
        <v>0</v>
      </c>
      <c r="E68" s="2"/>
      <c r="F68" s="19"/>
      <c r="G68" s="2"/>
      <c r="H68" s="2">
        <f>--22090.89</f>
        <v>22090.89</v>
      </c>
      <c r="I68" s="2"/>
      <c r="J68" s="19"/>
      <c r="K68" s="2"/>
      <c r="L68" s="2">
        <f t="shared" si="0"/>
        <v>-22090.89</v>
      </c>
      <c r="M68" s="2"/>
      <c r="N68" s="19">
        <f t="shared" si="1"/>
        <v>-1</v>
      </c>
      <c r="O68" s="11"/>
      <c r="P68" s="2">
        <f t="shared" si="13"/>
        <v>0</v>
      </c>
      <c r="Q68" s="2"/>
      <c r="R68" s="19"/>
      <c r="S68" s="2"/>
      <c r="T68" s="2">
        <f>--186399.2</f>
        <v>186399.2</v>
      </c>
      <c r="U68" s="2"/>
      <c r="V68" s="19"/>
      <c r="W68" s="2"/>
      <c r="X68" s="2">
        <f t="shared" si="2"/>
        <v>-186399.2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 t="shared" si="12"/>
        <v>0</v>
      </c>
      <c r="E69" s="2"/>
      <c r="F69" s="19"/>
      <c r="G69" s="2"/>
      <c r="H69" s="2">
        <f>--2888.95</f>
        <v>2888.95</v>
      </c>
      <c r="I69" s="2"/>
      <c r="J69" s="19"/>
      <c r="K69" s="2"/>
      <c r="L69" s="2">
        <f t="shared" si="0"/>
        <v>-2888.95</v>
      </c>
      <c r="M69" s="2"/>
      <c r="N69" s="19">
        <f t="shared" si="1"/>
        <v>-1</v>
      </c>
      <c r="O69" s="11"/>
      <c r="P69" s="2">
        <f t="shared" si="13"/>
        <v>0</v>
      </c>
      <c r="Q69" s="2"/>
      <c r="R69" s="19"/>
      <c r="S69" s="2"/>
      <c r="T69" s="2">
        <f>--10518.14</f>
        <v>10518.14</v>
      </c>
      <c r="U69" s="2"/>
      <c r="V69" s="19"/>
      <c r="W69" s="2"/>
      <c r="X69" s="2">
        <f t="shared" si="2"/>
        <v>-10518.14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"4185", " - ", "NON-TAXABLE SALES-SOFTWARE")</f>
        <v xml:space="preserve">          4185 - NON-TAXABLE SALES-SOFTWARE</v>
      </c>
      <c r="C70" s="11"/>
      <c r="D70" s="2">
        <f t="shared" si="12"/>
        <v>0</v>
      </c>
      <c r="E70" s="2"/>
      <c r="F70" s="19"/>
      <c r="G70" s="2"/>
      <c r="H70" s="2">
        <f>--3149.85</f>
        <v>3149.85</v>
      </c>
      <c r="I70" s="2"/>
      <c r="J70" s="19"/>
      <c r="K70" s="2"/>
      <c r="L70" s="2">
        <f t="shared" si="0"/>
        <v>-3149.85</v>
      </c>
      <c r="M70" s="2"/>
      <c r="N70" s="19">
        <f t="shared" si="1"/>
        <v>-1</v>
      </c>
      <c r="O70" s="11"/>
      <c r="P70" s="2">
        <f t="shared" si="13"/>
        <v>0</v>
      </c>
      <c r="Q70" s="2"/>
      <c r="R70" s="19"/>
      <c r="S70" s="2"/>
      <c r="T70" s="2">
        <f>--29830.52</f>
        <v>29830.52</v>
      </c>
      <c r="U70" s="2"/>
      <c r="V70" s="19"/>
      <c r="W70" s="2"/>
      <c r="X70" s="2">
        <f t="shared" si="2"/>
        <v>-29830.52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 t="shared" si="12"/>
        <v>0</v>
      </c>
      <c r="E71" s="2"/>
      <c r="F71" s="19"/>
      <c r="G71" s="2"/>
      <c r="H71" s="2">
        <f>--535.04</f>
        <v>535.04</v>
      </c>
      <c r="I71" s="2"/>
      <c r="J71" s="19"/>
      <c r="K71" s="2"/>
      <c r="L71" s="2">
        <f t="shared" si="0"/>
        <v>-535.04</v>
      </c>
      <c r="M71" s="2"/>
      <c r="N71" s="19">
        <f t="shared" si="1"/>
        <v>-1</v>
      </c>
      <c r="O71" s="11"/>
      <c r="P71" s="2">
        <f t="shared" si="13"/>
        <v>0</v>
      </c>
      <c r="Q71" s="2"/>
      <c r="R71" s="19"/>
      <c r="S71" s="2"/>
      <c r="T71" s="2">
        <f>--2485.03</f>
        <v>2485.0300000000002</v>
      </c>
      <c r="U71" s="2"/>
      <c r="V71" s="19"/>
      <c r="W71" s="2"/>
      <c r="X71" s="2">
        <f t="shared" si="2"/>
        <v>-2485.0300000000002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"4200", " - ", "TAXABLE RETURNS")</f>
        <v xml:space="preserve">          4200 - TAXABLE RETURNS</v>
      </c>
      <c r="C72" s="11"/>
      <c r="D72" s="2">
        <f>-33158.25</f>
        <v>-33158.25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-33158.25</v>
      </c>
      <c r="M72" s="2"/>
      <c r="N72" s="19">
        <f t="shared" si="1"/>
        <v>0</v>
      </c>
      <c r="O72" s="11"/>
      <c r="P72" s="2">
        <f>-311559.47</f>
        <v>-311559.46999999997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-311559.46999999997</v>
      </c>
      <c r="Y72" s="2"/>
      <c r="Z72" s="19">
        <f t="shared" si="3"/>
        <v>0</v>
      </c>
    </row>
    <row r="73" spans="1:26" s="24" customFormat="1" hidden="1" outlineLevel="1" x14ac:dyDescent="0.3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 t="shared" ref="D73:D89" si="14">0</f>
        <v>0</v>
      </c>
      <c r="E73" s="2"/>
      <c r="F73" s="19"/>
      <c r="G73" s="2"/>
      <c r="H73" s="2">
        <f>-12741.9</f>
        <v>-12741.9</v>
      </c>
      <c r="I73" s="2"/>
      <c r="J73" s="19"/>
      <c r="K73" s="2"/>
      <c r="L73" s="2">
        <f t="shared" si="0"/>
        <v>12741.9</v>
      </c>
      <c r="M73" s="2"/>
      <c r="N73" s="19">
        <f t="shared" si="1"/>
        <v>-1</v>
      </c>
      <c r="O73" s="11"/>
      <c r="P73" s="2">
        <f t="shared" ref="P73:P89" si="15">0</f>
        <v>0</v>
      </c>
      <c r="Q73" s="2"/>
      <c r="R73" s="19"/>
      <c r="S73" s="2"/>
      <c r="T73" s="2">
        <f>-48517.74</f>
        <v>-48517.74</v>
      </c>
      <c r="U73" s="2"/>
      <c r="V73" s="19"/>
      <c r="W73" s="2"/>
      <c r="X73" s="2">
        <f t="shared" si="2"/>
        <v>48517.74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 t="shared" si="14"/>
        <v>0</v>
      </c>
      <c r="E74" s="2"/>
      <c r="F74" s="19"/>
      <c r="G74" s="2"/>
      <c r="H74" s="2">
        <f>-4670.3</f>
        <v>-4670.3</v>
      </c>
      <c r="I74" s="2"/>
      <c r="J74" s="19"/>
      <c r="K74" s="2"/>
      <c r="L74" s="2">
        <f t="shared" si="0"/>
        <v>4670.3</v>
      </c>
      <c r="M74" s="2"/>
      <c r="N74" s="19">
        <f t="shared" si="1"/>
        <v>-1</v>
      </c>
      <c r="O74" s="11"/>
      <c r="P74" s="2">
        <f t="shared" si="15"/>
        <v>0</v>
      </c>
      <c r="Q74" s="2"/>
      <c r="R74" s="19"/>
      <c r="S74" s="2"/>
      <c r="T74" s="2">
        <f>-18536.3</f>
        <v>-18536.3</v>
      </c>
      <c r="U74" s="2"/>
      <c r="V74" s="19"/>
      <c r="W74" s="2"/>
      <c r="X74" s="2">
        <f t="shared" si="2"/>
        <v>18536.3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si="14"/>
        <v>0</v>
      </c>
      <c r="E75" s="2"/>
      <c r="F75" s="19"/>
      <c r="G75" s="2"/>
      <c r="H75" s="2">
        <f t="shared" ref="H75:H76" si="16"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 t="shared" si="15"/>
        <v>0</v>
      </c>
      <c r="Q75" s="2"/>
      <c r="R75" s="19"/>
      <c r="S75" s="2"/>
      <c r="T75" s="2">
        <f>-1630.85</f>
        <v>-1630.85</v>
      </c>
      <c r="U75" s="2"/>
      <c r="V75" s="19"/>
      <c r="W75" s="2"/>
      <c r="X75" s="2">
        <f t="shared" si="2"/>
        <v>1630.85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"4226", " - ", "SALES RETURN TAXABLE-WRITING I")</f>
        <v xml:space="preserve">          4226 - SALES RETURN TAXABLE-WRITING I</v>
      </c>
      <c r="C76" s="11"/>
      <c r="D76" s="2">
        <f t="shared" si="14"/>
        <v>0</v>
      </c>
      <c r="E76" s="2"/>
      <c r="F76" s="19"/>
      <c r="G76" s="2"/>
      <c r="H76" s="2">
        <f t="shared" si="16"/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5"/>
        <v>0</v>
      </c>
      <c r="Q76" s="2"/>
      <c r="R76" s="19"/>
      <c r="S76" s="2"/>
      <c r="T76" s="2">
        <f>-34.23</f>
        <v>-34.229999999999997</v>
      </c>
      <c r="U76" s="2"/>
      <c r="V76" s="19"/>
      <c r="W76" s="2"/>
      <c r="X76" s="2">
        <f t="shared" si="2"/>
        <v>34.229999999999997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"4227", " - ", "SALES RETURN TAXABLE-SCHOOL SU")</f>
        <v xml:space="preserve">          4227 - SALES RETURN TAXABLE-SCHOOL SU</v>
      </c>
      <c r="C77" s="11"/>
      <c r="D77" s="2">
        <f t="shared" si="14"/>
        <v>0</v>
      </c>
      <c r="E77" s="2"/>
      <c r="F77" s="19"/>
      <c r="G77" s="2"/>
      <c r="H77" s="2">
        <f>-126.22</f>
        <v>-126.22</v>
      </c>
      <c r="I77" s="2"/>
      <c r="J77" s="19"/>
      <c r="K77" s="2"/>
      <c r="L77" s="2">
        <f t="shared" si="0"/>
        <v>126.22</v>
      </c>
      <c r="M77" s="2"/>
      <c r="N77" s="19">
        <f t="shared" si="1"/>
        <v>-1</v>
      </c>
      <c r="O77" s="11"/>
      <c r="P77" s="2">
        <f t="shared" si="15"/>
        <v>0</v>
      </c>
      <c r="Q77" s="2"/>
      <c r="R77" s="19"/>
      <c r="S77" s="2"/>
      <c r="T77" s="2">
        <f>-762.68</f>
        <v>-762.68</v>
      </c>
      <c r="U77" s="2"/>
      <c r="V77" s="19"/>
      <c r="W77" s="2"/>
      <c r="X77" s="2">
        <f t="shared" si="2"/>
        <v>762.68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"4228", " - ", "SALES RETURN TAXABLE-ART/TECH")</f>
        <v xml:space="preserve">          4228 - SALES RETURN TAXABLE-ART/TECH</v>
      </c>
      <c r="C78" s="11"/>
      <c r="D78" s="2">
        <f t="shared" si="14"/>
        <v>0</v>
      </c>
      <c r="E78" s="2"/>
      <c r="F78" s="19"/>
      <c r="G78" s="2"/>
      <c r="H78" s="2">
        <f>-12473.84</f>
        <v>-12473.84</v>
      </c>
      <c r="I78" s="2"/>
      <c r="J78" s="19"/>
      <c r="K78" s="2"/>
      <c r="L78" s="2">
        <f t="shared" si="0"/>
        <v>12473.84</v>
      </c>
      <c r="M78" s="2"/>
      <c r="N78" s="19">
        <f t="shared" si="1"/>
        <v>-1</v>
      </c>
      <c r="O78" s="11"/>
      <c r="P78" s="2">
        <f t="shared" si="15"/>
        <v>0</v>
      </c>
      <c r="Q78" s="2"/>
      <c r="R78" s="19"/>
      <c r="S78" s="2"/>
      <c r="T78" s="2">
        <f>-12728.53</f>
        <v>-12728.53</v>
      </c>
      <c r="U78" s="2"/>
      <c r="V78" s="19"/>
      <c r="W78" s="2"/>
      <c r="X78" s="2">
        <f t="shared" si="2"/>
        <v>12728.53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"4240", " - ", "SALES RETURN TAXABLE-LOGO CLOT")</f>
        <v xml:space="preserve">          4240 - SALES RETURN TAXABLE-LOGO CLOT</v>
      </c>
      <c r="C79" s="11"/>
      <c r="D79" s="2">
        <f t="shared" si="14"/>
        <v>0</v>
      </c>
      <c r="E79" s="2"/>
      <c r="F79" s="19"/>
      <c r="G79" s="2"/>
      <c r="H79" s="2">
        <f>-7168.03</f>
        <v>-7168.03</v>
      </c>
      <c r="I79" s="2"/>
      <c r="J79" s="19"/>
      <c r="K79" s="2"/>
      <c r="L79" s="2">
        <f t="shared" si="0"/>
        <v>7168.03</v>
      </c>
      <c r="M79" s="2"/>
      <c r="N79" s="19">
        <f t="shared" si="1"/>
        <v>-1</v>
      </c>
      <c r="O79" s="11"/>
      <c r="P79" s="2">
        <f t="shared" si="15"/>
        <v>0</v>
      </c>
      <c r="Q79" s="2"/>
      <c r="R79" s="19"/>
      <c r="S79" s="2"/>
      <c r="T79" s="2">
        <f>-27586.87</f>
        <v>-27586.87</v>
      </c>
      <c r="U79" s="2"/>
      <c r="V79" s="19"/>
      <c r="W79" s="2"/>
      <c r="X79" s="2">
        <f t="shared" si="2"/>
        <v>27586.87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"4241", " - ", "SALES RETURN TAXABLE-LOGO GIFT")</f>
        <v xml:space="preserve">          4241 - SALES RETURN TAXABLE-LOGO GIFT</v>
      </c>
      <c r="C80" s="11"/>
      <c r="D80" s="2">
        <f t="shared" si="14"/>
        <v>0</v>
      </c>
      <c r="E80" s="2"/>
      <c r="F80" s="19"/>
      <c r="G80" s="2"/>
      <c r="H80" s="2">
        <f>-1397.46</f>
        <v>-1397.46</v>
      </c>
      <c r="I80" s="2"/>
      <c r="J80" s="19"/>
      <c r="K80" s="2"/>
      <c r="L80" s="2">
        <f t="shared" si="0"/>
        <v>1397.46</v>
      </c>
      <c r="M80" s="2"/>
      <c r="N80" s="19">
        <f t="shared" si="1"/>
        <v>-1</v>
      </c>
      <c r="O80" s="11"/>
      <c r="P80" s="2">
        <f t="shared" si="15"/>
        <v>0</v>
      </c>
      <c r="Q80" s="2"/>
      <c r="R80" s="19"/>
      <c r="S80" s="2"/>
      <c r="T80" s="2">
        <f>-4957.47</f>
        <v>-4957.47</v>
      </c>
      <c r="U80" s="2"/>
      <c r="V80" s="19"/>
      <c r="W80" s="2"/>
      <c r="X80" s="2">
        <f t="shared" si="2"/>
        <v>4957.47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"4242", " - ", "SALES RETURN TAXABLE-EVERYDAY")</f>
        <v xml:space="preserve">          4242 - SALES RETURN TAXABLE-EVERYDAY</v>
      </c>
      <c r="C81" s="11"/>
      <c r="D81" s="2">
        <f t="shared" si="14"/>
        <v>0</v>
      </c>
      <c r="E81" s="2"/>
      <c r="F81" s="19"/>
      <c r="G81" s="2"/>
      <c r="H81" s="2">
        <f>-76.86</f>
        <v>-76.86</v>
      </c>
      <c r="I81" s="2"/>
      <c r="J81" s="19"/>
      <c r="K81" s="2"/>
      <c r="L81" s="2">
        <f t="shared" si="0"/>
        <v>76.86</v>
      </c>
      <c r="M81" s="2"/>
      <c r="N81" s="19">
        <f t="shared" si="1"/>
        <v>-1</v>
      </c>
      <c r="O81" s="11"/>
      <c r="P81" s="2">
        <f t="shared" si="15"/>
        <v>0</v>
      </c>
      <c r="Q81" s="2"/>
      <c r="R81" s="19"/>
      <c r="S81" s="2"/>
      <c r="T81" s="2">
        <f>-1693.78</f>
        <v>-1693.78</v>
      </c>
      <c r="U81" s="2"/>
      <c r="V81" s="19"/>
      <c r="W81" s="2"/>
      <c r="X81" s="2">
        <f t="shared" si="2"/>
        <v>1693.78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"4243", " - ", "SALES RETURN TAXABLE-CARDS")</f>
        <v xml:space="preserve">          4243 - SALES RETURN TAXABLE-CARDS</v>
      </c>
      <c r="C82" s="11"/>
      <c r="D82" s="2">
        <f t="shared" si="14"/>
        <v>0</v>
      </c>
      <c r="E82" s="2"/>
      <c r="F82" s="19"/>
      <c r="G82" s="2"/>
      <c r="H82" s="2">
        <f>-1422.25</f>
        <v>-1422.25</v>
      </c>
      <c r="I82" s="2"/>
      <c r="J82" s="19"/>
      <c r="K82" s="2"/>
      <c r="L82" s="2">
        <f t="shared" si="0"/>
        <v>1422.25</v>
      </c>
      <c r="M82" s="2"/>
      <c r="N82" s="19">
        <f t="shared" si="1"/>
        <v>-1</v>
      </c>
      <c r="O82" s="11"/>
      <c r="P82" s="2">
        <f t="shared" si="15"/>
        <v>0</v>
      </c>
      <c r="Q82" s="2"/>
      <c r="R82" s="19"/>
      <c r="S82" s="2"/>
      <c r="T82" s="2">
        <f>-4999.79</f>
        <v>-4999.79</v>
      </c>
      <c r="U82" s="2"/>
      <c r="V82" s="19"/>
      <c r="W82" s="2"/>
      <c r="X82" s="2">
        <f t="shared" si="2"/>
        <v>4999.79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"4244", " - ", "SALES RETURN TAXABLE-ACCESSORI")</f>
        <v xml:space="preserve">          4244 - SALES RETURN TAXABLE-ACCESSORI</v>
      </c>
      <c r="C83" s="11"/>
      <c r="D83" s="2">
        <f t="shared" si="14"/>
        <v>0</v>
      </c>
      <c r="E83" s="2"/>
      <c r="F83" s="19"/>
      <c r="G83" s="2"/>
      <c r="H83" s="2">
        <f>-93.98</f>
        <v>-93.98</v>
      </c>
      <c r="I83" s="2"/>
      <c r="J83" s="19"/>
      <c r="K83" s="2"/>
      <c r="L83" s="2">
        <f t="shared" si="0"/>
        <v>93.98</v>
      </c>
      <c r="M83" s="2"/>
      <c r="N83" s="19">
        <f t="shared" si="1"/>
        <v>-1</v>
      </c>
      <c r="O83" s="11"/>
      <c r="P83" s="2">
        <f t="shared" si="15"/>
        <v>0</v>
      </c>
      <c r="Q83" s="2"/>
      <c r="R83" s="19"/>
      <c r="S83" s="2"/>
      <c r="T83" s="2">
        <f>-984.85</f>
        <v>-984.85</v>
      </c>
      <c r="U83" s="2"/>
      <c r="V83" s="19"/>
      <c r="W83" s="2"/>
      <c r="X83" s="2">
        <f t="shared" si="2"/>
        <v>984.85</v>
      </c>
      <c r="Y83" s="2"/>
      <c r="Z83" s="19">
        <f t="shared" si="3"/>
        <v>-1</v>
      </c>
    </row>
    <row r="84" spans="1:26" s="24" customFormat="1" hidden="1" outlineLevel="1" x14ac:dyDescent="0.3">
      <c r="A84" s="44"/>
      <c r="B84" s="11" t="str">
        <f>CONCATENATE("          ", "4245", " - ", "SALES RETURN TAXABLE-SPECIAL O")</f>
        <v xml:space="preserve">          4245 - SALES RETURN TAXABLE-SPECIAL O</v>
      </c>
      <c r="C84" s="11"/>
      <c r="D84" s="2">
        <f t="shared" si="14"/>
        <v>0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 t="shared" si="15"/>
        <v>0</v>
      </c>
      <c r="Q84" s="2"/>
      <c r="R84" s="19"/>
      <c r="S84" s="2"/>
      <c r="T84" s="2">
        <f>-11345.61</f>
        <v>-11345.61</v>
      </c>
      <c r="U84" s="2"/>
      <c r="V84" s="19"/>
      <c r="W84" s="2"/>
      <c r="X84" s="2">
        <f t="shared" si="2"/>
        <v>11345.61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"4281", " - ", "SALES RETURN TAXABLE-ELECTRONI")</f>
        <v xml:space="preserve">          4281 - SALES RETURN TAXABLE-ELECTRONI</v>
      </c>
      <c r="C85" s="11"/>
      <c r="D85" s="2">
        <f t="shared" si="14"/>
        <v>0</v>
      </c>
      <c r="E85" s="2"/>
      <c r="F85" s="19"/>
      <c r="G85" s="2"/>
      <c r="H85" s="2">
        <f>-129.99</f>
        <v>-129.99</v>
      </c>
      <c r="I85" s="2"/>
      <c r="J85" s="19"/>
      <c r="K85" s="2"/>
      <c r="L85" s="2">
        <f t="shared" si="0"/>
        <v>129.99</v>
      </c>
      <c r="M85" s="2"/>
      <c r="N85" s="19">
        <f t="shared" si="1"/>
        <v>-1</v>
      </c>
      <c r="O85" s="11"/>
      <c r="P85" s="2">
        <f t="shared" si="15"/>
        <v>0</v>
      </c>
      <c r="Q85" s="2"/>
      <c r="R85" s="19"/>
      <c r="S85" s="2"/>
      <c r="T85" s="2">
        <f>-14762.14</f>
        <v>-14762.14</v>
      </c>
      <c r="U85" s="2"/>
      <c r="V85" s="19"/>
      <c r="W85" s="2"/>
      <c r="X85" s="2">
        <f t="shared" si="2"/>
        <v>14762.14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"4282", " - ", "SALES RETURN TAXABLE-COMPUTER")</f>
        <v xml:space="preserve">          4282 - SALES RETURN TAXABLE-COMPUTER</v>
      </c>
      <c r="C86" s="11"/>
      <c r="D86" s="2">
        <f t="shared" si="14"/>
        <v>0</v>
      </c>
      <c r="E86" s="2"/>
      <c r="F86" s="19"/>
      <c r="G86" s="2"/>
      <c r="H86" s="2">
        <f>-4897</f>
        <v>-4897</v>
      </c>
      <c r="I86" s="2"/>
      <c r="J86" s="19"/>
      <c r="K86" s="2"/>
      <c r="L86" s="2">
        <f t="shared" si="0"/>
        <v>4897</v>
      </c>
      <c r="M86" s="2"/>
      <c r="N86" s="19">
        <f t="shared" si="1"/>
        <v>-1</v>
      </c>
      <c r="O86" s="11"/>
      <c r="P86" s="2">
        <f t="shared" si="15"/>
        <v>0</v>
      </c>
      <c r="Q86" s="2"/>
      <c r="R86" s="19"/>
      <c r="S86" s="2"/>
      <c r="T86" s="2">
        <f>-96917.01</f>
        <v>-96917.01</v>
      </c>
      <c r="U86" s="2"/>
      <c r="V86" s="19"/>
      <c r="W86" s="2"/>
      <c r="X86" s="2">
        <f t="shared" si="2"/>
        <v>96917.01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"4283", " - ", "SALES RETURN TAXABLE-COMPUTER")</f>
        <v xml:space="preserve">          4283 - SALES RETURN TAXABLE-COMPUTER</v>
      </c>
      <c r="C87" s="11"/>
      <c r="D87" s="2">
        <f t="shared" si="14"/>
        <v>0</v>
      </c>
      <c r="E87" s="2"/>
      <c r="F87" s="19"/>
      <c r="G87" s="2"/>
      <c r="H87" s="2">
        <f>--264.97</f>
        <v>264.97000000000003</v>
      </c>
      <c r="I87" s="2"/>
      <c r="J87" s="19"/>
      <c r="K87" s="2"/>
      <c r="L87" s="2">
        <f t="shared" si="0"/>
        <v>-264.97000000000003</v>
      </c>
      <c r="M87" s="2"/>
      <c r="N87" s="19">
        <f t="shared" si="1"/>
        <v>-1</v>
      </c>
      <c r="O87" s="11"/>
      <c r="P87" s="2">
        <f t="shared" si="15"/>
        <v>0</v>
      </c>
      <c r="Q87" s="2"/>
      <c r="R87" s="19"/>
      <c r="S87" s="2"/>
      <c r="T87" s="2">
        <f>-3146.29</f>
        <v>-3146.29</v>
      </c>
      <c r="U87" s="2"/>
      <c r="V87" s="19"/>
      <c r="W87" s="2"/>
      <c r="X87" s="2">
        <f t="shared" si="2"/>
        <v>3146.29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"4285", " - ", "SALES RETURN TAXABLE-SOFTWARE")</f>
        <v xml:space="preserve">          4285 - SALES RETURN TAXABLE-SOFTWARE</v>
      </c>
      <c r="C88" s="11"/>
      <c r="D88" s="2">
        <f t="shared" si="14"/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si="15"/>
        <v>0</v>
      </c>
      <c r="Q88" s="2"/>
      <c r="R88" s="19"/>
      <c r="S88" s="2"/>
      <c r="T88" s="2">
        <f>-691.98</f>
        <v>-691.98</v>
      </c>
      <c r="U88" s="2"/>
      <c r="V88" s="19"/>
      <c r="W88" s="2"/>
      <c r="X88" s="2">
        <f t="shared" si="2"/>
        <v>691.98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"4286", " - ", "SALES RETURN TAXABLE-COMPUTER")</f>
        <v xml:space="preserve">          4286 - SALES RETURN TAXABLE-COMPUTER</v>
      </c>
      <c r="C89" s="11"/>
      <c r="D89" s="2">
        <f t="shared" si="14"/>
        <v>0</v>
      </c>
      <c r="E89" s="2"/>
      <c r="F89" s="19"/>
      <c r="G89" s="2"/>
      <c r="H89" s="2">
        <f>-18.99</f>
        <v>-18.989999999999998</v>
      </c>
      <c r="I89" s="2"/>
      <c r="J89" s="19"/>
      <c r="K89" s="2"/>
      <c r="L89" s="2">
        <f t="shared" si="0"/>
        <v>18.989999999999998</v>
      </c>
      <c r="M89" s="2"/>
      <c r="N89" s="19">
        <f t="shared" si="1"/>
        <v>-1</v>
      </c>
      <c r="O89" s="11"/>
      <c r="P89" s="2">
        <f t="shared" si="15"/>
        <v>0</v>
      </c>
      <c r="Q89" s="2"/>
      <c r="R89" s="19"/>
      <c r="S89" s="2"/>
      <c r="T89" s="2">
        <f>-4727.34</f>
        <v>-4727.34</v>
      </c>
      <c r="U89" s="2"/>
      <c r="V89" s="19"/>
      <c r="W89" s="2"/>
      <c r="X89" s="2">
        <f t="shared" si="2"/>
        <v>4727.34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"4300", " - ", "NON-TAX RETURNS")</f>
        <v xml:space="preserve">          4300 - NON-TAX RETURNS</v>
      </c>
      <c r="C90" s="11"/>
      <c r="D90" s="2">
        <f>-894.73</f>
        <v>-894.73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-894.73</v>
      </c>
      <c r="M90" s="2"/>
      <c r="N90" s="19">
        <f t="shared" si="1"/>
        <v>0</v>
      </c>
      <c r="O90" s="11"/>
      <c r="P90" s="2">
        <f>-28778.86</f>
        <v>-28778.86</v>
      </c>
      <c r="Q90" s="2"/>
      <c r="R90" s="19"/>
      <c r="S90" s="2"/>
      <c r="T90" s="2">
        <f>0</f>
        <v>0</v>
      </c>
      <c r="U90" s="2"/>
      <c r="V90" s="19"/>
      <c r="W90" s="2"/>
      <c r="X90" s="2">
        <f t="shared" si="2"/>
        <v>-28778.86</v>
      </c>
      <c r="Y90" s="2"/>
      <c r="Z90" s="19">
        <f t="shared" si="3"/>
        <v>0</v>
      </c>
    </row>
    <row r="91" spans="1:26" s="24" customFormat="1" hidden="1" outlineLevel="1" x14ac:dyDescent="0.3">
      <c r="A91" s="44"/>
      <c r="B91" s="11" t="str">
        <f>CONCATENATE("          ", "4301", " - ", "SALES RETURN NON TAXABLE-NEW T")</f>
        <v xml:space="preserve">          4301 - SALES RETURN NON TAXABLE-NEW T</v>
      </c>
      <c r="C91" s="11"/>
      <c r="D91" s="2">
        <f t="shared" ref="D91:D97" si="17">0</f>
        <v>0</v>
      </c>
      <c r="E91" s="2"/>
      <c r="F91" s="19"/>
      <c r="G91" s="2"/>
      <c r="H91" s="2">
        <f>-256.69</f>
        <v>-256.69</v>
      </c>
      <c r="I91" s="2"/>
      <c r="J91" s="19"/>
      <c r="K91" s="2"/>
      <c r="L91" s="2">
        <f t="shared" si="0"/>
        <v>256.69</v>
      </c>
      <c r="M91" s="2"/>
      <c r="N91" s="19">
        <f t="shared" si="1"/>
        <v>-1</v>
      </c>
      <c r="O91" s="11"/>
      <c r="P91" s="2">
        <f t="shared" ref="P91:P97" si="18">0</f>
        <v>0</v>
      </c>
      <c r="Q91" s="2"/>
      <c r="R91" s="19"/>
      <c r="S91" s="2"/>
      <c r="T91" s="2">
        <f>-3005.79</f>
        <v>-3005.79</v>
      </c>
      <c r="U91" s="2"/>
      <c r="V91" s="19"/>
      <c r="W91" s="2"/>
      <c r="X91" s="2">
        <f t="shared" si="2"/>
        <v>3005.79</v>
      </c>
      <c r="Y91" s="2"/>
      <c r="Z91" s="19">
        <f t="shared" si="3"/>
        <v>-1</v>
      </c>
    </row>
    <row r="92" spans="1:26" s="24" customFormat="1" hidden="1" outlineLevel="1" x14ac:dyDescent="0.3">
      <c r="A92" s="44"/>
      <c r="B92" s="11" t="str">
        <f>CONCATENATE("          ", "4302", " - ", "SALES RETURN NON TAXABLE-TEXT")</f>
        <v xml:space="preserve">          4302 - SALES RETURN NON TAXABLE-TEXT</v>
      </c>
      <c r="C92" s="11"/>
      <c r="D92" s="2">
        <f t="shared" si="17"/>
        <v>0</v>
      </c>
      <c r="E92" s="2"/>
      <c r="F92" s="19"/>
      <c r="G92" s="2"/>
      <c r="H92" s="2">
        <f>-532.96</f>
        <v>-532.96</v>
      </c>
      <c r="I92" s="2"/>
      <c r="J92" s="19"/>
      <c r="K92" s="2"/>
      <c r="L92" s="2">
        <f t="shared" si="0"/>
        <v>532.96</v>
      </c>
      <c r="M92" s="2"/>
      <c r="N92" s="19">
        <f t="shared" si="1"/>
        <v>-1</v>
      </c>
      <c r="O92" s="11"/>
      <c r="P92" s="2">
        <f t="shared" si="18"/>
        <v>0</v>
      </c>
      <c r="Q92" s="2"/>
      <c r="R92" s="19"/>
      <c r="S92" s="2"/>
      <c r="T92" s="2">
        <f>-2003.16</f>
        <v>-2003.16</v>
      </c>
      <c r="U92" s="2"/>
      <c r="V92" s="19"/>
      <c r="W92" s="2"/>
      <c r="X92" s="2">
        <f t="shared" si="2"/>
        <v>2003.16</v>
      </c>
      <c r="Y92" s="2"/>
      <c r="Z92" s="19">
        <f t="shared" si="3"/>
        <v>-1</v>
      </c>
    </row>
    <row r="93" spans="1:26" s="24" customFormat="1" hidden="1" outlineLevel="1" x14ac:dyDescent="0.3">
      <c r="A93" s="44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 t="shared" si="17"/>
        <v>0</v>
      </c>
      <c r="E93" s="2"/>
      <c r="F93" s="19"/>
      <c r="G93" s="2"/>
      <c r="H93" s="2">
        <f>-10673</f>
        <v>-10673</v>
      </c>
      <c r="I93" s="2"/>
      <c r="J93" s="19"/>
      <c r="K93" s="2"/>
      <c r="L93" s="2">
        <f t="shared" si="0"/>
        <v>10673</v>
      </c>
      <c r="M93" s="2"/>
      <c r="N93" s="19">
        <f t="shared" si="1"/>
        <v>-1</v>
      </c>
      <c r="O93" s="11"/>
      <c r="P93" s="2">
        <f t="shared" si="18"/>
        <v>0</v>
      </c>
      <c r="Q93" s="2"/>
      <c r="R93" s="19"/>
      <c r="S93" s="2"/>
      <c r="T93" s="2">
        <f>-25095.77</f>
        <v>-25095.77</v>
      </c>
      <c r="U93" s="2"/>
      <c r="V93" s="19"/>
      <c r="W93" s="2"/>
      <c r="X93" s="2">
        <f t="shared" si="2"/>
        <v>25095.77</v>
      </c>
      <c r="Y93" s="2"/>
      <c r="Z93" s="19">
        <f t="shared" si="3"/>
        <v>-1</v>
      </c>
    </row>
    <row r="94" spans="1:26" s="24" customFormat="1" hidden="1" outlineLevel="1" x14ac:dyDescent="0.3">
      <c r="A94" s="44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 t="shared" si="17"/>
        <v>0</v>
      </c>
      <c r="E94" s="2"/>
      <c r="F94" s="19"/>
      <c r="G94" s="2"/>
      <c r="H94" s="2">
        <f>-732.22</f>
        <v>-732.22</v>
      </c>
      <c r="I94" s="2"/>
      <c r="J94" s="19"/>
      <c r="K94" s="2"/>
      <c r="L94" s="2">
        <f t="shared" si="0"/>
        <v>732.22</v>
      </c>
      <c r="M94" s="2"/>
      <c r="N94" s="19">
        <f t="shared" si="1"/>
        <v>-1</v>
      </c>
      <c r="O94" s="11"/>
      <c r="P94" s="2">
        <f t="shared" si="18"/>
        <v>0</v>
      </c>
      <c r="Q94" s="2"/>
      <c r="R94" s="19"/>
      <c r="S94" s="2"/>
      <c r="T94" s="2">
        <f>-2215.94</f>
        <v>-2215.94</v>
      </c>
      <c r="U94" s="2"/>
      <c r="V94" s="19"/>
      <c r="W94" s="2"/>
      <c r="X94" s="2">
        <f t="shared" si="2"/>
        <v>2215.94</v>
      </c>
      <c r="Y94" s="2"/>
      <c r="Z94" s="19">
        <f t="shared" si="3"/>
        <v>-1</v>
      </c>
    </row>
    <row r="95" spans="1:26" s="24" customFormat="1" hidden="1" outlineLevel="1" x14ac:dyDescent="0.3">
      <c r="A95" s="44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 t="shared" si="17"/>
        <v>0</v>
      </c>
      <c r="E95" s="2"/>
      <c r="F95" s="19"/>
      <c r="G95" s="2"/>
      <c r="H95" s="2">
        <f>-27</f>
        <v>-27</v>
      </c>
      <c r="I95" s="2"/>
      <c r="J95" s="19"/>
      <c r="K95" s="2"/>
      <c r="L95" s="2">
        <f t="shared" si="0"/>
        <v>27</v>
      </c>
      <c r="M95" s="2"/>
      <c r="N95" s="19">
        <f t="shared" si="1"/>
        <v>-1</v>
      </c>
      <c r="O95" s="11"/>
      <c r="P95" s="2">
        <f t="shared" si="18"/>
        <v>0</v>
      </c>
      <c r="Q95" s="2"/>
      <c r="R95" s="19"/>
      <c r="S95" s="2"/>
      <c r="T95" s="2">
        <f>-362.64</f>
        <v>-362.64</v>
      </c>
      <c r="U95" s="2"/>
      <c r="V95" s="19"/>
      <c r="W95" s="2"/>
      <c r="X95" s="2">
        <f t="shared" si="2"/>
        <v>362.64</v>
      </c>
      <c r="Y95" s="2"/>
      <c r="Z95" s="19">
        <f t="shared" si="3"/>
        <v>-1</v>
      </c>
    </row>
    <row r="96" spans="1:26" s="24" customFormat="1" hidden="1" outlineLevel="1" x14ac:dyDescent="0.3">
      <c r="A96" s="44"/>
      <c r="B96" s="11" t="str">
        <f>CONCATENATE("          ", "4342", " - ", "SALES RETURN NON TAXABLE-EVERY")</f>
        <v xml:space="preserve">          4342 - SALES RETURN NON TAXABLE-EVERY</v>
      </c>
      <c r="C96" s="11"/>
      <c r="D96" s="2">
        <f t="shared" si="17"/>
        <v>0</v>
      </c>
      <c r="E96" s="2"/>
      <c r="F96" s="19"/>
      <c r="G96" s="2"/>
      <c r="H96" s="2">
        <f t="shared" ref="H96:H98" si="19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si="18"/>
        <v>0</v>
      </c>
      <c r="Q96" s="2"/>
      <c r="R96" s="19"/>
      <c r="S96" s="2"/>
      <c r="T96" s="2">
        <f>-118.7</f>
        <v>-118.7</v>
      </c>
      <c r="U96" s="2"/>
      <c r="V96" s="19"/>
      <c r="W96" s="2"/>
      <c r="X96" s="2">
        <f t="shared" si="2"/>
        <v>118.7</v>
      </c>
      <c r="Y96" s="2"/>
      <c r="Z96" s="19">
        <f t="shared" si="3"/>
        <v>-1</v>
      </c>
    </row>
    <row r="97" spans="1:26" s="24" customFormat="1" hidden="1" outlineLevel="1" x14ac:dyDescent="0.3">
      <c r="A97" s="44"/>
      <c r="B97" s="11" t="str">
        <f>CONCATENATE("          ", "4381", " - ", "SALES RETURN NON TAXABLE-ELECT")</f>
        <v xml:space="preserve">          4381 - SALES RETURN NON TAXABLE-ELECT</v>
      </c>
      <c r="C97" s="11"/>
      <c r="D97" s="2">
        <f t="shared" si="17"/>
        <v>0</v>
      </c>
      <c r="E97" s="2"/>
      <c r="F97" s="19"/>
      <c r="G97" s="2"/>
      <c r="H97" s="2">
        <f t="shared" si="19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18"/>
        <v>0</v>
      </c>
      <c r="Q97" s="2"/>
      <c r="R97" s="19"/>
      <c r="S97" s="2"/>
      <c r="T97" s="2">
        <f>-5624.15</f>
        <v>-5624.15</v>
      </c>
      <c r="U97" s="2"/>
      <c r="V97" s="19"/>
      <c r="W97" s="2"/>
      <c r="X97" s="2">
        <f t="shared" si="2"/>
        <v>5624.15</v>
      </c>
      <c r="Y97" s="2"/>
      <c r="Z97" s="19">
        <f t="shared" si="3"/>
        <v>-1</v>
      </c>
    </row>
    <row r="98" spans="1:26" s="24" customFormat="1" hidden="1" outlineLevel="1" x14ac:dyDescent="0.3">
      <c r="A98" s="44"/>
      <c r="B98" s="11" t="str">
        <f>CONCATENATE("          ", "4500", " - ", "SALES DISCOUNT")</f>
        <v xml:space="preserve">          4500 - SALES DISCOUNT</v>
      </c>
      <c r="C98" s="11"/>
      <c r="D98" s="2">
        <f>-6650.73</f>
        <v>-6650.73</v>
      </c>
      <c r="E98" s="2"/>
      <c r="F98" s="19"/>
      <c r="G98" s="2"/>
      <c r="H98" s="2">
        <f t="shared" si="19"/>
        <v>0</v>
      </c>
      <c r="I98" s="2"/>
      <c r="J98" s="19"/>
      <c r="K98" s="2"/>
      <c r="L98" s="2">
        <f t="shared" si="0"/>
        <v>-6650.73</v>
      </c>
      <c r="M98" s="2"/>
      <c r="N98" s="19">
        <f t="shared" si="1"/>
        <v>0</v>
      </c>
      <c r="O98" s="11"/>
      <c r="P98" s="2">
        <f>-71134.17</f>
        <v>-71134.17</v>
      </c>
      <c r="Q98" s="2"/>
      <c r="R98" s="19"/>
      <c r="S98" s="2"/>
      <c r="T98" s="2">
        <f>0</f>
        <v>0</v>
      </c>
      <c r="U98" s="2"/>
      <c r="V98" s="19"/>
      <c r="W98" s="2"/>
      <c r="X98" s="2">
        <f t="shared" si="2"/>
        <v>-71134.17</v>
      </c>
      <c r="Y98" s="2"/>
      <c r="Z98" s="19">
        <f t="shared" si="3"/>
        <v>0</v>
      </c>
    </row>
    <row r="99" spans="1:26" x14ac:dyDescent="0.3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collapsed="1" x14ac:dyDescent="0.3">
      <c r="A100" s="10"/>
      <c r="B100" s="26" t="s">
        <v>256</v>
      </c>
      <c r="C100" s="10"/>
      <c r="D100" s="4">
        <f>SUM(OSRRefD16x_0)</f>
        <v>696667.32999999984</v>
      </c>
      <c r="E100" s="4"/>
      <c r="F100" s="12">
        <f t="shared" ref="F100:F151" si="20">IF(D$12=0,0,D100/D$12)</f>
        <v>0.43950181940016414</v>
      </c>
      <c r="G100" s="4"/>
      <c r="H100" s="4">
        <f>SUM(OSRRefH16x_0)</f>
        <v>915207.02999999991</v>
      </c>
      <c r="I100" s="4"/>
      <c r="J100" s="12">
        <f t="shared" ref="J100:J151" si="21">IF(H$12=0,0,H100/H$12)</f>
        <v>0.62585783733380851</v>
      </c>
      <c r="K100" s="4"/>
      <c r="L100" s="4">
        <f t="shared" ref="L100:L151" si="22">+D100-H100</f>
        <v>-218539.70000000007</v>
      </c>
      <c r="M100" s="4"/>
      <c r="N100" s="12">
        <f t="shared" ref="N100:N151" si="23">IF(H100=0,0,L100/H100)</f>
        <v>-0.23878717365184585</v>
      </c>
      <c r="O100" s="10"/>
      <c r="P100" s="4">
        <f>SUM(OSRRefP16x_0)</f>
        <v>5515326.5599999996</v>
      </c>
      <c r="Q100" s="4"/>
      <c r="R100" s="12">
        <f t="shared" ref="R100:R151" si="24">IF(P$12=0,0,P100/P$12)</f>
        <v>0.42554157603039172</v>
      </c>
      <c r="S100" s="4"/>
      <c r="T100" s="4">
        <f>SUM(OSRRefT16x_0)</f>
        <v>4144648.3000000003</v>
      </c>
      <c r="U100" s="4"/>
      <c r="V100" s="12">
        <f t="shared" ref="V100:V151" si="25">IF(T$12=0,0,T100/T$12)</f>
        <v>0.62747734733404725</v>
      </c>
      <c r="W100" s="4"/>
      <c r="X100" s="4">
        <f t="shared" ref="X100:X151" si="26">+P100-T100</f>
        <v>1370678.2599999993</v>
      </c>
      <c r="Y100" s="4"/>
      <c r="Z100" s="12">
        <f t="shared" ref="Z100:Z151" si="27">IF(T100=0,0,X100/T100)</f>
        <v>0.33071039103607397</v>
      </c>
    </row>
    <row r="101" spans="1:26" s="24" customFormat="1" hidden="1" outlineLevel="1" x14ac:dyDescent="0.3">
      <c r="A101" s="44"/>
      <c r="B101" s="11" t="str">
        <f>CONCATENATE("          ", "5000", " - ", "PURCHASES @ COST")</f>
        <v xml:space="preserve">          5000 - PURCHASES @ COST</v>
      </c>
      <c r="C101" s="11"/>
      <c r="D101" s="2">
        <v>586825.11</v>
      </c>
      <c r="E101" s="2"/>
      <c r="F101" s="19">
        <f t="shared" si="20"/>
        <v>0.37020639896333518</v>
      </c>
      <c r="G101" s="2"/>
      <c r="H101" s="2">
        <v>0</v>
      </c>
      <c r="I101" s="2"/>
      <c r="J101" s="19">
        <f t="shared" si="21"/>
        <v>0</v>
      </c>
      <c r="K101" s="2"/>
      <c r="L101" s="2">
        <f t="shared" si="22"/>
        <v>586825.11</v>
      </c>
      <c r="M101" s="2"/>
      <c r="N101" s="19">
        <f t="shared" si="23"/>
        <v>0</v>
      </c>
      <c r="O101" s="11"/>
      <c r="P101" s="2">
        <v>4045987.7</v>
      </c>
      <c r="Q101" s="2"/>
      <c r="R101" s="19">
        <f t="shared" si="24"/>
        <v>0.31217298989048076</v>
      </c>
      <c r="S101" s="2"/>
      <c r="T101" s="2">
        <v>0</v>
      </c>
      <c r="U101" s="2"/>
      <c r="V101" s="19">
        <f t="shared" si="25"/>
        <v>0</v>
      </c>
      <c r="W101" s="2"/>
      <c r="X101" s="2">
        <f t="shared" si="26"/>
        <v>4045987.7</v>
      </c>
      <c r="Y101" s="2"/>
      <c r="Z101" s="19">
        <f t="shared" si="27"/>
        <v>0</v>
      </c>
    </row>
    <row r="102" spans="1:26" s="24" customFormat="1" hidden="1" outlineLevel="1" x14ac:dyDescent="0.3">
      <c r="A102" s="44"/>
      <c r="B102" s="11" t="str">
        <f>CONCATENATE("          ", "5001", " - ", "PURCHASES @ COST-NEW TEXT")</f>
        <v xml:space="preserve">          5001 - PURCHASES @ COST-NEW TEXT</v>
      </c>
      <c r="C102" s="11"/>
      <c r="D102" s="2"/>
      <c r="E102" s="2"/>
      <c r="F102" s="19">
        <f t="shared" si="20"/>
        <v>0</v>
      </c>
      <c r="G102" s="2"/>
      <c r="H102" s="2">
        <v>381096.17</v>
      </c>
      <c r="I102" s="2"/>
      <c r="J102" s="19">
        <f t="shared" si="21"/>
        <v>0.26060991333556238</v>
      </c>
      <c r="K102" s="2"/>
      <c r="L102" s="2">
        <f t="shared" si="22"/>
        <v>-381096.17</v>
      </c>
      <c r="M102" s="2"/>
      <c r="N102" s="19">
        <f t="shared" si="23"/>
        <v>-1</v>
      </c>
      <c r="O102" s="11"/>
      <c r="P102" s="2">
        <v>0</v>
      </c>
      <c r="Q102" s="2"/>
      <c r="R102" s="19">
        <f t="shared" si="24"/>
        <v>0</v>
      </c>
      <c r="S102" s="2"/>
      <c r="T102" s="2">
        <v>1659009.21</v>
      </c>
      <c r="U102" s="2"/>
      <c r="V102" s="19">
        <f t="shared" si="25"/>
        <v>0.25116502606350294</v>
      </c>
      <c r="W102" s="2"/>
      <c r="X102" s="2">
        <f t="shared" si="26"/>
        <v>-1659009.21</v>
      </c>
      <c r="Y102" s="2"/>
      <c r="Z102" s="19">
        <f t="shared" si="27"/>
        <v>-1</v>
      </c>
    </row>
    <row r="103" spans="1:26" s="24" customFormat="1" hidden="1" outlineLevel="1" x14ac:dyDescent="0.3">
      <c r="A103" s="44"/>
      <c r="B103" s="11" t="str">
        <f>CONCATENATE("          ", "5002", " - ", "PURCHASES @ COST-USED TEXT")</f>
        <v xml:space="preserve">          5002 - PURCHASES @ COST-USED TEXT</v>
      </c>
      <c r="C103" s="11"/>
      <c r="D103" s="2"/>
      <c r="E103" s="2"/>
      <c r="F103" s="19">
        <f t="shared" si="20"/>
        <v>0</v>
      </c>
      <c r="G103" s="2"/>
      <c r="H103" s="2">
        <v>95863.360000000001</v>
      </c>
      <c r="I103" s="2"/>
      <c r="J103" s="19">
        <f t="shared" si="21"/>
        <v>6.5555478927158517E-2</v>
      </c>
      <c r="K103" s="2"/>
      <c r="L103" s="2">
        <f t="shared" si="22"/>
        <v>-95863.360000000001</v>
      </c>
      <c r="M103" s="2"/>
      <c r="N103" s="19">
        <f t="shared" si="23"/>
        <v>-1</v>
      </c>
      <c r="O103" s="11"/>
      <c r="P103" s="2">
        <v>0</v>
      </c>
      <c r="Q103" s="2"/>
      <c r="R103" s="19">
        <f t="shared" si="24"/>
        <v>0</v>
      </c>
      <c r="S103" s="2"/>
      <c r="T103" s="2">
        <v>260336.28</v>
      </c>
      <c r="U103" s="2"/>
      <c r="V103" s="19">
        <f t="shared" si="25"/>
        <v>3.9413505456956086E-2</v>
      </c>
      <c r="W103" s="2"/>
      <c r="X103" s="2">
        <f t="shared" si="26"/>
        <v>-260336.28</v>
      </c>
      <c r="Y103" s="2"/>
      <c r="Z103" s="19">
        <f t="shared" si="27"/>
        <v>-1</v>
      </c>
    </row>
    <row r="104" spans="1:26" s="24" customFormat="1" hidden="1" outlineLevel="1" x14ac:dyDescent="0.3">
      <c r="A104" s="44"/>
      <c r="B104" s="11" t="str">
        <f>CONCATENATE("          ", "5003", " - ", "PURCHASES @ COST-RENTAL TEXT")</f>
        <v xml:space="preserve">          5003 - PURCHASES @ COST-RENTAL TEXT</v>
      </c>
      <c r="C104" s="11"/>
      <c r="D104" s="2"/>
      <c r="E104" s="2"/>
      <c r="F104" s="19">
        <f t="shared" si="20"/>
        <v>0</v>
      </c>
      <c r="G104" s="2"/>
      <c r="H104" s="2"/>
      <c r="I104" s="2"/>
      <c r="J104" s="19">
        <f t="shared" si="21"/>
        <v>0</v>
      </c>
      <c r="K104" s="2"/>
      <c r="L104" s="2">
        <f t="shared" si="22"/>
        <v>0</v>
      </c>
      <c r="M104" s="2"/>
      <c r="N104" s="19">
        <f t="shared" si="23"/>
        <v>0</v>
      </c>
      <c r="O104" s="11"/>
      <c r="P104" s="2"/>
      <c r="Q104" s="2"/>
      <c r="R104" s="19">
        <f t="shared" si="24"/>
        <v>0</v>
      </c>
      <c r="S104" s="2"/>
      <c r="T104" s="2">
        <v>32.520000000000003</v>
      </c>
      <c r="U104" s="2"/>
      <c r="V104" s="19">
        <f t="shared" si="25"/>
        <v>4.9233522022370915E-6</v>
      </c>
      <c r="W104" s="2"/>
      <c r="X104" s="2">
        <f t="shared" si="26"/>
        <v>-32.520000000000003</v>
      </c>
      <c r="Y104" s="2"/>
      <c r="Z104" s="19">
        <f t="shared" si="27"/>
        <v>-1</v>
      </c>
    </row>
    <row r="105" spans="1:26" s="24" customFormat="1" hidden="1" outlineLevel="1" x14ac:dyDescent="0.3">
      <c r="A105" s="44"/>
      <c r="B105" s="11" t="str">
        <f>CONCATENATE("          ", "5004", " - ", "PURCHASES @ COST-DIGITAL TEXT")</f>
        <v xml:space="preserve">          5004 - PURCHASES @ COST-DIGITAL TEXT</v>
      </c>
      <c r="C105" s="11"/>
      <c r="D105" s="2"/>
      <c r="E105" s="2"/>
      <c r="F105" s="19">
        <f t="shared" si="20"/>
        <v>0</v>
      </c>
      <c r="G105" s="2"/>
      <c r="H105" s="2">
        <v>18888.45</v>
      </c>
      <c r="I105" s="2"/>
      <c r="J105" s="19">
        <f t="shared" si="21"/>
        <v>1.2916732586273707E-2</v>
      </c>
      <c r="K105" s="2"/>
      <c r="L105" s="2">
        <f t="shared" si="22"/>
        <v>-18888.45</v>
      </c>
      <c r="M105" s="2"/>
      <c r="N105" s="19">
        <f t="shared" si="23"/>
        <v>-1</v>
      </c>
      <c r="O105" s="11"/>
      <c r="P105" s="2">
        <v>0</v>
      </c>
      <c r="Q105" s="2"/>
      <c r="R105" s="19">
        <f t="shared" si="24"/>
        <v>0</v>
      </c>
      <c r="S105" s="2"/>
      <c r="T105" s="2">
        <v>216726.56</v>
      </c>
      <c r="U105" s="2"/>
      <c r="V105" s="19">
        <f t="shared" si="25"/>
        <v>3.2811229595918479E-2</v>
      </c>
      <c r="W105" s="2"/>
      <c r="X105" s="2">
        <f t="shared" si="26"/>
        <v>-216726.56</v>
      </c>
      <c r="Y105" s="2"/>
      <c r="Z105" s="19">
        <f t="shared" si="27"/>
        <v>-1</v>
      </c>
    </row>
    <row r="106" spans="1:26" s="24" customFormat="1" hidden="1" outlineLevel="1" x14ac:dyDescent="0.3">
      <c r="A106" s="44"/>
      <c r="B106" s="11" t="str">
        <f>CONCATENATE("          ", "5011", " - ", "PURCHASES @ COST-NO VALUE TEXT")</f>
        <v xml:space="preserve">          5011 - PURCHASES @ COST-NO VALUE TEXT</v>
      </c>
      <c r="C106" s="11"/>
      <c r="D106" s="2"/>
      <c r="E106" s="2"/>
      <c r="F106" s="19">
        <f t="shared" si="20"/>
        <v>0</v>
      </c>
      <c r="G106" s="2"/>
      <c r="H106" s="2"/>
      <c r="I106" s="2"/>
      <c r="J106" s="19">
        <f t="shared" si="21"/>
        <v>0</v>
      </c>
      <c r="K106" s="2"/>
      <c r="L106" s="2">
        <f t="shared" si="22"/>
        <v>0</v>
      </c>
      <c r="M106" s="2"/>
      <c r="N106" s="19">
        <f t="shared" si="23"/>
        <v>0</v>
      </c>
      <c r="O106" s="11"/>
      <c r="P106" s="2"/>
      <c r="Q106" s="2"/>
      <c r="R106" s="19">
        <f t="shared" si="24"/>
        <v>0</v>
      </c>
      <c r="S106" s="2"/>
      <c r="T106" s="2">
        <v>67.17</v>
      </c>
      <c r="U106" s="2"/>
      <c r="V106" s="19">
        <f t="shared" si="25"/>
        <v>1.0169174890045061E-5</v>
      </c>
      <c r="W106" s="2"/>
      <c r="X106" s="2">
        <f t="shared" si="26"/>
        <v>-67.17</v>
      </c>
      <c r="Y106" s="2"/>
      <c r="Z106" s="19">
        <f t="shared" si="27"/>
        <v>-1</v>
      </c>
    </row>
    <row r="107" spans="1:26" s="24" customFormat="1" hidden="1" outlineLevel="1" x14ac:dyDescent="0.3">
      <c r="A107" s="44"/>
      <c r="B107" s="11" t="str">
        <f>CONCATENATE("          ", "5013", " - ", "PURCHASES @ COST-TRADE BOOKS")</f>
        <v xml:space="preserve">          5013 - PURCHASES @ COST-TRADE BOOKS</v>
      </c>
      <c r="C107" s="11"/>
      <c r="D107" s="2"/>
      <c r="E107" s="2"/>
      <c r="F107" s="19">
        <f t="shared" si="20"/>
        <v>0</v>
      </c>
      <c r="G107" s="2"/>
      <c r="H107" s="2">
        <v>3531.13</v>
      </c>
      <c r="I107" s="2"/>
      <c r="J107" s="19">
        <f t="shared" si="21"/>
        <v>2.4147382097190967E-3</v>
      </c>
      <c r="K107" s="2"/>
      <c r="L107" s="2">
        <f t="shared" si="22"/>
        <v>-3531.13</v>
      </c>
      <c r="M107" s="2"/>
      <c r="N107" s="19">
        <f t="shared" si="23"/>
        <v>-1</v>
      </c>
      <c r="O107" s="11"/>
      <c r="P107" s="2"/>
      <c r="Q107" s="2"/>
      <c r="R107" s="19">
        <f t="shared" si="24"/>
        <v>0</v>
      </c>
      <c r="S107" s="2"/>
      <c r="T107" s="2">
        <v>5656.98</v>
      </c>
      <c r="U107" s="2"/>
      <c r="V107" s="19">
        <f t="shared" si="25"/>
        <v>8.5643619129800665E-4</v>
      </c>
      <c r="W107" s="2"/>
      <c r="X107" s="2">
        <f t="shared" si="26"/>
        <v>-5656.98</v>
      </c>
      <c r="Y107" s="2"/>
      <c r="Z107" s="19">
        <f t="shared" si="27"/>
        <v>-1</v>
      </c>
    </row>
    <row r="108" spans="1:26" s="24" customFormat="1" hidden="1" outlineLevel="1" x14ac:dyDescent="0.3">
      <c r="A108" s="44"/>
      <c r="B108" s="11" t="str">
        <f>CONCATENATE("          ", "5014", " - ", "PURCHASES @ COST-REMAINDERS")</f>
        <v xml:space="preserve">          5014 - PURCHASES @ COST-REMAINDERS</v>
      </c>
      <c r="C108" s="11"/>
      <c r="D108" s="2"/>
      <c r="E108" s="2"/>
      <c r="F108" s="19">
        <f t="shared" si="20"/>
        <v>0</v>
      </c>
      <c r="G108" s="2"/>
      <c r="H108" s="2"/>
      <c r="I108" s="2"/>
      <c r="J108" s="19">
        <f t="shared" si="21"/>
        <v>0</v>
      </c>
      <c r="K108" s="2"/>
      <c r="L108" s="2">
        <f t="shared" si="22"/>
        <v>0</v>
      </c>
      <c r="M108" s="2"/>
      <c r="N108" s="19">
        <f t="shared" si="23"/>
        <v>0</v>
      </c>
      <c r="O108" s="11"/>
      <c r="P108" s="2"/>
      <c r="Q108" s="2"/>
      <c r="R108" s="19">
        <f t="shared" si="24"/>
        <v>0</v>
      </c>
      <c r="S108" s="2"/>
      <c r="T108" s="2">
        <v>90.41</v>
      </c>
      <c r="U108" s="2"/>
      <c r="V108" s="19">
        <f t="shared" si="25"/>
        <v>1.3687585258433437E-5</v>
      </c>
      <c r="W108" s="2"/>
      <c r="X108" s="2">
        <f t="shared" si="26"/>
        <v>-90.41</v>
      </c>
      <c r="Y108" s="2"/>
      <c r="Z108" s="19">
        <f t="shared" si="27"/>
        <v>-1</v>
      </c>
    </row>
    <row r="109" spans="1:26" s="24" customFormat="1" hidden="1" outlineLevel="1" x14ac:dyDescent="0.3">
      <c r="A109" s="44"/>
      <c r="B109" s="11" t="str">
        <f>CONCATENATE("          ", "5018", " - ", "PURCHASES @ COST-STUDY GUIDES")</f>
        <v xml:space="preserve">          5018 - PURCHASES @ COST-STUDY GUIDES</v>
      </c>
      <c r="C109" s="11"/>
      <c r="D109" s="2"/>
      <c r="E109" s="2"/>
      <c r="F109" s="19">
        <f t="shared" si="20"/>
        <v>0</v>
      </c>
      <c r="G109" s="2"/>
      <c r="H109" s="2">
        <v>416</v>
      </c>
      <c r="I109" s="2"/>
      <c r="J109" s="19">
        <f t="shared" si="21"/>
        <v>2.844786499628006E-4</v>
      </c>
      <c r="K109" s="2"/>
      <c r="L109" s="2">
        <f t="shared" si="22"/>
        <v>-416</v>
      </c>
      <c r="M109" s="2"/>
      <c r="N109" s="19">
        <f t="shared" si="23"/>
        <v>-1</v>
      </c>
      <c r="O109" s="11"/>
      <c r="P109" s="2"/>
      <c r="Q109" s="2"/>
      <c r="R109" s="19">
        <f t="shared" si="24"/>
        <v>0</v>
      </c>
      <c r="S109" s="2"/>
      <c r="T109" s="2">
        <v>522.34</v>
      </c>
      <c r="U109" s="2"/>
      <c r="V109" s="19">
        <f t="shared" si="25"/>
        <v>7.9079452316006216E-5</v>
      </c>
      <c r="W109" s="2"/>
      <c r="X109" s="2">
        <f t="shared" si="26"/>
        <v>-522.34</v>
      </c>
      <c r="Y109" s="2"/>
      <c r="Z109" s="19">
        <f t="shared" si="27"/>
        <v>-1</v>
      </c>
    </row>
    <row r="110" spans="1:26" s="24" customFormat="1" hidden="1" outlineLevel="1" x14ac:dyDescent="0.3">
      <c r="A110" s="44"/>
      <c r="B110" s="11" t="str">
        <f>CONCATENATE("          ", "5025", " - ", "PURCHASES @ COST-TEST FORMS")</f>
        <v xml:space="preserve">          5025 - PURCHASES @ COST-TEST FORMS</v>
      </c>
      <c r="C110" s="11"/>
      <c r="D110" s="2"/>
      <c r="E110" s="2"/>
      <c r="F110" s="19">
        <f t="shared" si="20"/>
        <v>0</v>
      </c>
      <c r="G110" s="2"/>
      <c r="H110" s="2"/>
      <c r="I110" s="2"/>
      <c r="J110" s="19">
        <f t="shared" si="21"/>
        <v>0</v>
      </c>
      <c r="K110" s="2"/>
      <c r="L110" s="2">
        <f t="shared" si="22"/>
        <v>0</v>
      </c>
      <c r="M110" s="2"/>
      <c r="N110" s="19">
        <f t="shared" si="23"/>
        <v>0</v>
      </c>
      <c r="O110" s="11"/>
      <c r="P110" s="2"/>
      <c r="Q110" s="2"/>
      <c r="R110" s="19">
        <f t="shared" si="24"/>
        <v>0</v>
      </c>
      <c r="S110" s="2"/>
      <c r="T110" s="2">
        <v>599.29</v>
      </c>
      <c r="U110" s="2"/>
      <c r="V110" s="19">
        <f t="shared" si="25"/>
        <v>9.0729266336982354E-5</v>
      </c>
      <c r="W110" s="2"/>
      <c r="X110" s="2">
        <f t="shared" si="26"/>
        <v>-599.29</v>
      </c>
      <c r="Y110" s="2"/>
      <c r="Z110" s="19">
        <f t="shared" si="27"/>
        <v>-1</v>
      </c>
    </row>
    <row r="111" spans="1:26" s="24" customFormat="1" hidden="1" outlineLevel="1" x14ac:dyDescent="0.3">
      <c r="A111" s="44"/>
      <c r="B111" s="11" t="str">
        <f>CONCATENATE("          ", "5026", " - ", "PURCHASES @ COST-WRITING INSTR")</f>
        <v xml:space="preserve">          5026 - PURCHASES @ COST-WRITING INSTR</v>
      </c>
      <c r="C111" s="11"/>
      <c r="D111" s="2"/>
      <c r="E111" s="2"/>
      <c r="F111" s="19">
        <f t="shared" si="20"/>
        <v>0</v>
      </c>
      <c r="G111" s="2"/>
      <c r="H111" s="2"/>
      <c r="I111" s="2"/>
      <c r="J111" s="19">
        <f t="shared" si="21"/>
        <v>0</v>
      </c>
      <c r="K111" s="2"/>
      <c r="L111" s="2">
        <f t="shared" si="22"/>
        <v>0</v>
      </c>
      <c r="M111" s="2"/>
      <c r="N111" s="19">
        <f t="shared" si="23"/>
        <v>0</v>
      </c>
      <c r="O111" s="11"/>
      <c r="P111" s="2">
        <v>0</v>
      </c>
      <c r="Q111" s="2"/>
      <c r="R111" s="19">
        <f t="shared" si="24"/>
        <v>0</v>
      </c>
      <c r="S111" s="2"/>
      <c r="T111" s="2">
        <v>374.91</v>
      </c>
      <c r="U111" s="2"/>
      <c r="V111" s="19">
        <f t="shared" si="25"/>
        <v>5.6759347298299748E-5</v>
      </c>
      <c r="W111" s="2"/>
      <c r="X111" s="2">
        <f t="shared" si="26"/>
        <v>-374.91</v>
      </c>
      <c r="Y111" s="2"/>
      <c r="Z111" s="19">
        <f t="shared" si="27"/>
        <v>-1</v>
      </c>
    </row>
    <row r="112" spans="1:26" s="24" customFormat="1" hidden="1" outlineLevel="1" x14ac:dyDescent="0.3">
      <c r="A112" s="44"/>
      <c r="B112" s="11" t="str">
        <f>CONCATENATE("          ", "5027", " - ", "PURCHASES @ COST-SCHOOL SUPPLI")</f>
        <v xml:space="preserve">          5027 - PURCHASES @ COST-SCHOOL SUPPLI</v>
      </c>
      <c r="C112" s="11"/>
      <c r="D112" s="2"/>
      <c r="E112" s="2"/>
      <c r="F112" s="19">
        <f t="shared" si="20"/>
        <v>0</v>
      </c>
      <c r="G112" s="2"/>
      <c r="H112" s="2"/>
      <c r="I112" s="2"/>
      <c r="J112" s="19">
        <f t="shared" si="21"/>
        <v>0</v>
      </c>
      <c r="K112" s="2"/>
      <c r="L112" s="2">
        <f t="shared" si="22"/>
        <v>0</v>
      </c>
      <c r="M112" s="2"/>
      <c r="N112" s="19">
        <f t="shared" si="23"/>
        <v>0</v>
      </c>
      <c r="O112" s="11"/>
      <c r="P112" s="2">
        <v>0</v>
      </c>
      <c r="Q112" s="2"/>
      <c r="R112" s="19">
        <f t="shared" si="24"/>
        <v>0</v>
      </c>
      <c r="S112" s="2"/>
      <c r="T112" s="2">
        <v>19071.349999999999</v>
      </c>
      <c r="U112" s="2"/>
      <c r="V112" s="19">
        <f t="shared" si="25"/>
        <v>2.8872992934235648E-3</v>
      </c>
      <c r="W112" s="2"/>
      <c r="X112" s="2">
        <f t="shared" si="26"/>
        <v>-19071.349999999999</v>
      </c>
      <c r="Y112" s="2"/>
      <c r="Z112" s="19">
        <f t="shared" si="27"/>
        <v>-1</v>
      </c>
    </row>
    <row r="113" spans="1:26" s="24" customFormat="1" hidden="1" outlineLevel="1" x14ac:dyDescent="0.3">
      <c r="A113" s="44"/>
      <c r="B113" s="11" t="str">
        <f>CONCATENATE("          ", "5028", " - ", "PURCHASES @ COST-ART/TECH")</f>
        <v xml:space="preserve">          5028 - PURCHASES @ COST-ART/TECH</v>
      </c>
      <c r="C113" s="11"/>
      <c r="D113" s="2"/>
      <c r="E113" s="2"/>
      <c r="F113" s="19">
        <f t="shared" si="20"/>
        <v>0</v>
      </c>
      <c r="G113" s="2"/>
      <c r="H113" s="2"/>
      <c r="I113" s="2"/>
      <c r="J113" s="19">
        <f t="shared" si="21"/>
        <v>0</v>
      </c>
      <c r="K113" s="2"/>
      <c r="L113" s="2">
        <f t="shared" si="22"/>
        <v>0</v>
      </c>
      <c r="M113" s="2"/>
      <c r="N113" s="19">
        <f t="shared" si="23"/>
        <v>0</v>
      </c>
      <c r="O113" s="11"/>
      <c r="P113" s="2">
        <v>0</v>
      </c>
      <c r="Q113" s="2"/>
      <c r="R113" s="19">
        <f t="shared" si="24"/>
        <v>0</v>
      </c>
      <c r="S113" s="2"/>
      <c r="T113" s="2">
        <v>41358.449999999997</v>
      </c>
      <c r="U113" s="2"/>
      <c r="V113" s="19">
        <f t="shared" si="25"/>
        <v>6.2614457530323674E-3</v>
      </c>
      <c r="W113" s="2"/>
      <c r="X113" s="2">
        <f t="shared" si="26"/>
        <v>-41358.449999999997</v>
      </c>
      <c r="Y113" s="2"/>
      <c r="Z113" s="19">
        <f t="shared" si="27"/>
        <v>-1</v>
      </c>
    </row>
    <row r="114" spans="1:26" s="24" customFormat="1" hidden="1" outlineLevel="1" x14ac:dyDescent="0.3">
      <c r="A114" s="44"/>
      <c r="B114" s="11" t="str">
        <f>CONCATENATE("          ", "5031", " - ", "PURCHASES @ COST-FOOD")</f>
        <v xml:space="preserve">          5031 - PURCHASES @ COST-FOOD</v>
      </c>
      <c r="C114" s="11"/>
      <c r="D114" s="2"/>
      <c r="E114" s="2"/>
      <c r="F114" s="19">
        <f t="shared" si="20"/>
        <v>0</v>
      </c>
      <c r="G114" s="2"/>
      <c r="H114" s="2">
        <v>239.16</v>
      </c>
      <c r="I114" s="2"/>
      <c r="J114" s="19">
        <f t="shared" si="21"/>
        <v>1.6354787001226779E-4</v>
      </c>
      <c r="K114" s="2"/>
      <c r="L114" s="2">
        <f t="shared" si="22"/>
        <v>-239.16</v>
      </c>
      <c r="M114" s="2"/>
      <c r="N114" s="19">
        <f t="shared" si="23"/>
        <v>-1</v>
      </c>
      <c r="O114" s="11"/>
      <c r="P114" s="2">
        <v>0</v>
      </c>
      <c r="Q114" s="2"/>
      <c r="R114" s="19">
        <f t="shared" si="24"/>
        <v>0</v>
      </c>
      <c r="S114" s="2"/>
      <c r="T114" s="2">
        <v>7514.26</v>
      </c>
      <c r="U114" s="2"/>
      <c r="V114" s="19">
        <f t="shared" si="25"/>
        <v>1.1376183431482806E-3</v>
      </c>
      <c r="W114" s="2"/>
      <c r="X114" s="2">
        <f t="shared" si="26"/>
        <v>-7514.26</v>
      </c>
      <c r="Y114" s="2"/>
      <c r="Z114" s="19">
        <f t="shared" si="27"/>
        <v>-1</v>
      </c>
    </row>
    <row r="115" spans="1:26" s="24" customFormat="1" hidden="1" outlineLevel="1" x14ac:dyDescent="0.3">
      <c r="A115" s="44"/>
      <c r="B115" s="11" t="str">
        <f>CONCATENATE("          ", "5040", " - ", "PURCHASES @ COST-LOGO CLOTHING")</f>
        <v xml:space="preserve">          5040 - PURCHASES @ COST-LOGO CLOTHING</v>
      </c>
      <c r="C115" s="11"/>
      <c r="D115" s="2"/>
      <c r="E115" s="2"/>
      <c r="F115" s="19">
        <f t="shared" si="20"/>
        <v>0</v>
      </c>
      <c r="G115" s="2"/>
      <c r="H115" s="2">
        <v>34900.79</v>
      </c>
      <c r="I115" s="2"/>
      <c r="J115" s="19">
        <f t="shared" si="21"/>
        <v>2.3866657744796186E-2</v>
      </c>
      <c r="K115" s="2"/>
      <c r="L115" s="2">
        <f t="shared" si="22"/>
        <v>-34900.79</v>
      </c>
      <c r="M115" s="2"/>
      <c r="N115" s="19">
        <f t="shared" si="23"/>
        <v>-1</v>
      </c>
      <c r="O115" s="11"/>
      <c r="P115" s="2">
        <v>0</v>
      </c>
      <c r="Q115" s="2"/>
      <c r="R115" s="19">
        <f t="shared" si="24"/>
        <v>0</v>
      </c>
      <c r="S115" s="2"/>
      <c r="T115" s="2">
        <v>167371.19</v>
      </c>
      <c r="U115" s="2"/>
      <c r="V115" s="19">
        <f t="shared" si="25"/>
        <v>2.5339093384918281E-2</v>
      </c>
      <c r="W115" s="2"/>
      <c r="X115" s="2">
        <f t="shared" si="26"/>
        <v>-167371.19</v>
      </c>
      <c r="Y115" s="2"/>
      <c r="Z115" s="19">
        <f t="shared" si="27"/>
        <v>-1</v>
      </c>
    </row>
    <row r="116" spans="1:26" s="24" customFormat="1" hidden="1" outlineLevel="1" x14ac:dyDescent="0.3">
      <c r="A116" s="44"/>
      <c r="B116" s="11" t="str">
        <f>CONCATENATE("          ", "5041", " - ", "PURCHASES @ COST-LOGO GIFTS")</f>
        <v xml:space="preserve">          5041 - PURCHASES @ COST-LOGO GIFTS</v>
      </c>
      <c r="C116" s="11"/>
      <c r="D116" s="2"/>
      <c r="E116" s="2"/>
      <c r="F116" s="19">
        <f t="shared" si="20"/>
        <v>0</v>
      </c>
      <c r="G116" s="2"/>
      <c r="H116" s="2">
        <v>8769.24</v>
      </c>
      <c r="I116" s="2"/>
      <c r="J116" s="19">
        <f t="shared" si="21"/>
        <v>5.9967825874994943E-3</v>
      </c>
      <c r="K116" s="2"/>
      <c r="L116" s="2">
        <f t="shared" si="22"/>
        <v>-8769.24</v>
      </c>
      <c r="M116" s="2"/>
      <c r="N116" s="19">
        <f t="shared" si="23"/>
        <v>-1</v>
      </c>
      <c r="O116" s="11"/>
      <c r="P116" s="2">
        <v>0</v>
      </c>
      <c r="Q116" s="2"/>
      <c r="R116" s="19">
        <f t="shared" si="24"/>
        <v>0</v>
      </c>
      <c r="S116" s="2"/>
      <c r="T116" s="2">
        <v>40971</v>
      </c>
      <c r="U116" s="2"/>
      <c r="V116" s="19">
        <f t="shared" si="25"/>
        <v>6.2027879175232427E-3</v>
      </c>
      <c r="W116" s="2"/>
      <c r="X116" s="2">
        <f t="shared" si="26"/>
        <v>-40971</v>
      </c>
      <c r="Y116" s="2"/>
      <c r="Z116" s="19">
        <f t="shared" si="27"/>
        <v>-1</v>
      </c>
    </row>
    <row r="117" spans="1:26" s="24" customFormat="1" hidden="1" outlineLevel="1" x14ac:dyDescent="0.3">
      <c r="A117" s="44"/>
      <c r="B117" s="11" t="str">
        <f>CONCATENATE("          ", "5042", " - ", "PURCHASES @ COST-EVERYDAY GIFT")</f>
        <v xml:space="preserve">          5042 - PURCHASES @ COST-EVERYDAY GIFT</v>
      </c>
      <c r="C117" s="11"/>
      <c r="D117" s="2"/>
      <c r="E117" s="2"/>
      <c r="F117" s="19">
        <f t="shared" si="20"/>
        <v>0</v>
      </c>
      <c r="G117" s="2"/>
      <c r="H117" s="2">
        <v>6760.7</v>
      </c>
      <c r="I117" s="2"/>
      <c r="J117" s="19">
        <f t="shared" si="21"/>
        <v>4.623256751931505E-3</v>
      </c>
      <c r="K117" s="2"/>
      <c r="L117" s="2">
        <f t="shared" si="22"/>
        <v>-6760.7</v>
      </c>
      <c r="M117" s="2"/>
      <c r="N117" s="19">
        <f t="shared" si="23"/>
        <v>-1</v>
      </c>
      <c r="O117" s="11"/>
      <c r="P117" s="2">
        <v>0</v>
      </c>
      <c r="Q117" s="2"/>
      <c r="R117" s="19">
        <f t="shared" si="24"/>
        <v>0</v>
      </c>
      <c r="S117" s="2"/>
      <c r="T117" s="2">
        <v>17821.98</v>
      </c>
      <c r="U117" s="2"/>
      <c r="V117" s="19">
        <f t="shared" si="25"/>
        <v>2.6981514293119738E-3</v>
      </c>
      <c r="W117" s="2"/>
      <c r="X117" s="2">
        <f t="shared" si="26"/>
        <v>-17821.98</v>
      </c>
      <c r="Y117" s="2"/>
      <c r="Z117" s="19">
        <f t="shared" si="27"/>
        <v>-1</v>
      </c>
    </row>
    <row r="118" spans="1:26" s="24" customFormat="1" hidden="1" outlineLevel="1" x14ac:dyDescent="0.3">
      <c r="A118" s="44"/>
      <c r="B118" s="11" t="str">
        <f>CONCATENATE("          ", "5043", " - ", "PURCHASES @ COST-CARDS")</f>
        <v xml:space="preserve">          5043 - PURCHASES @ COST-CARDS</v>
      </c>
      <c r="C118" s="11"/>
      <c r="D118" s="2"/>
      <c r="E118" s="2"/>
      <c r="F118" s="19">
        <f t="shared" si="20"/>
        <v>0</v>
      </c>
      <c r="G118" s="2"/>
      <c r="H118" s="2">
        <v>8743.1</v>
      </c>
      <c r="I118" s="2"/>
      <c r="J118" s="19">
        <f t="shared" si="21"/>
        <v>5.9789069338696205E-3</v>
      </c>
      <c r="K118" s="2"/>
      <c r="L118" s="2">
        <f t="shared" si="22"/>
        <v>-8743.1</v>
      </c>
      <c r="M118" s="2"/>
      <c r="N118" s="19">
        <f t="shared" si="23"/>
        <v>-1</v>
      </c>
      <c r="O118" s="11"/>
      <c r="P118" s="2">
        <v>0</v>
      </c>
      <c r="Q118" s="2"/>
      <c r="R118" s="19">
        <f t="shared" si="24"/>
        <v>0</v>
      </c>
      <c r="S118" s="2"/>
      <c r="T118" s="2">
        <v>55364.33</v>
      </c>
      <c r="U118" s="2"/>
      <c r="V118" s="19">
        <f t="shared" si="25"/>
        <v>8.3818602715523081E-3</v>
      </c>
      <c r="W118" s="2"/>
      <c r="X118" s="2">
        <f t="shared" si="26"/>
        <v>-55364.33</v>
      </c>
      <c r="Y118" s="2"/>
      <c r="Z118" s="19">
        <f t="shared" si="27"/>
        <v>-1</v>
      </c>
    </row>
    <row r="119" spans="1:26" s="24" customFormat="1" hidden="1" outlineLevel="1" x14ac:dyDescent="0.3">
      <c r="A119" s="44"/>
      <c r="B119" s="11" t="str">
        <f>CONCATENATE("          ", "5044", " - ", "PURCHASES @ COST-ACCESSORIES")</f>
        <v xml:space="preserve">          5044 - PURCHASES @ COST-ACCESSORIES</v>
      </c>
      <c r="C119" s="11"/>
      <c r="D119" s="2"/>
      <c r="E119" s="2"/>
      <c r="F119" s="19">
        <f t="shared" si="20"/>
        <v>0</v>
      </c>
      <c r="G119" s="2"/>
      <c r="H119" s="2">
        <v>782.5</v>
      </c>
      <c r="I119" s="2"/>
      <c r="J119" s="19">
        <f t="shared" si="21"/>
        <v>5.3510707595166222E-4</v>
      </c>
      <c r="K119" s="2"/>
      <c r="L119" s="2">
        <f t="shared" si="22"/>
        <v>-782.5</v>
      </c>
      <c r="M119" s="2"/>
      <c r="N119" s="19">
        <f t="shared" si="23"/>
        <v>-1</v>
      </c>
      <c r="O119" s="11"/>
      <c r="P119" s="2">
        <v>0</v>
      </c>
      <c r="Q119" s="2"/>
      <c r="R119" s="19">
        <f t="shared" si="24"/>
        <v>0</v>
      </c>
      <c r="S119" s="2"/>
      <c r="T119" s="2">
        <v>1064.83</v>
      </c>
      <c r="U119" s="2"/>
      <c r="V119" s="19">
        <f t="shared" si="25"/>
        <v>1.6120950570443177E-4</v>
      </c>
      <c r="W119" s="2"/>
      <c r="X119" s="2">
        <f t="shared" si="26"/>
        <v>-1064.83</v>
      </c>
      <c r="Y119" s="2"/>
      <c r="Z119" s="19">
        <f t="shared" si="27"/>
        <v>-1</v>
      </c>
    </row>
    <row r="120" spans="1:26" s="24" customFormat="1" hidden="1" outlineLevel="1" x14ac:dyDescent="0.3">
      <c r="A120" s="44"/>
      <c r="B120" s="11" t="str">
        <f>CONCATENATE("          ", "5045", " - ", "PURCHASES @ COST-SPECIAL ORDER")</f>
        <v xml:space="preserve">          5045 - PURCHASES @ COST-SPECIAL ORDER</v>
      </c>
      <c r="C120" s="11"/>
      <c r="D120" s="2"/>
      <c r="E120" s="2"/>
      <c r="F120" s="19">
        <f t="shared" si="20"/>
        <v>0</v>
      </c>
      <c r="G120" s="2"/>
      <c r="H120" s="2">
        <v>5855.38</v>
      </c>
      <c r="I120" s="2"/>
      <c r="J120" s="19">
        <f t="shared" si="21"/>
        <v>4.0041600899499603E-3</v>
      </c>
      <c r="K120" s="2"/>
      <c r="L120" s="2">
        <f t="shared" si="22"/>
        <v>-5855.38</v>
      </c>
      <c r="M120" s="2"/>
      <c r="N120" s="19">
        <f t="shared" si="23"/>
        <v>-1</v>
      </c>
      <c r="O120" s="11"/>
      <c r="P120" s="2">
        <v>0</v>
      </c>
      <c r="Q120" s="2"/>
      <c r="R120" s="19">
        <f t="shared" si="24"/>
        <v>0</v>
      </c>
      <c r="S120" s="2"/>
      <c r="T120" s="2">
        <v>93464.38</v>
      </c>
      <c r="U120" s="2"/>
      <c r="V120" s="19">
        <f t="shared" si="25"/>
        <v>1.4150001878958313E-2</v>
      </c>
      <c r="W120" s="2"/>
      <c r="X120" s="2">
        <f t="shared" si="26"/>
        <v>-93464.38</v>
      </c>
      <c r="Y120" s="2"/>
      <c r="Z120" s="19">
        <f t="shared" si="27"/>
        <v>-1</v>
      </c>
    </row>
    <row r="121" spans="1:26" s="24" customFormat="1" hidden="1" outlineLevel="1" x14ac:dyDescent="0.3">
      <c r="A121" s="44"/>
      <c r="B121" s="11" t="str">
        <f>CONCATENATE("          ", "5053", " - ", "PURCHASES @ COST-FOOD")</f>
        <v xml:space="preserve">          5053 - PURCHASES @ COST-FOOD</v>
      </c>
      <c r="C121" s="11"/>
      <c r="D121" s="2">
        <v>143716.57999999999</v>
      </c>
      <c r="E121" s="2"/>
      <c r="F121" s="19">
        <f t="shared" si="20"/>
        <v>9.0665509444757875E-2</v>
      </c>
      <c r="G121" s="2"/>
      <c r="H121" s="2">
        <v>30627.69</v>
      </c>
      <c r="I121" s="2"/>
      <c r="J121" s="19">
        <f t="shared" si="21"/>
        <v>2.094452861220954E-2</v>
      </c>
      <c r="K121" s="2"/>
      <c r="L121" s="2">
        <f t="shared" si="22"/>
        <v>113088.88999999998</v>
      </c>
      <c r="M121" s="2"/>
      <c r="N121" s="19">
        <f t="shared" si="23"/>
        <v>3.6923741228933684</v>
      </c>
      <c r="O121" s="11"/>
      <c r="P121" s="2">
        <v>1913840.46</v>
      </c>
      <c r="Q121" s="2"/>
      <c r="R121" s="19">
        <f t="shared" si="24"/>
        <v>0.14766463540449543</v>
      </c>
      <c r="S121" s="2"/>
      <c r="T121" s="2">
        <v>297700.40000000002</v>
      </c>
      <c r="U121" s="2"/>
      <c r="V121" s="19">
        <f t="shared" si="25"/>
        <v>4.5070231240678445E-2</v>
      </c>
      <c r="W121" s="2"/>
      <c r="X121" s="2">
        <f t="shared" si="26"/>
        <v>1616140.06</v>
      </c>
      <c r="Y121" s="2"/>
      <c r="Z121" s="19">
        <f t="shared" si="27"/>
        <v>5.4287466862657894</v>
      </c>
    </row>
    <row r="122" spans="1:26" s="24" customFormat="1" hidden="1" outlineLevel="1" x14ac:dyDescent="0.3">
      <c r="A122" s="44"/>
      <c r="B122" s="11" t="str">
        <f>CONCATENATE("          ", "5059", " - ", "PURCHASES @ COST-FOOD")</f>
        <v xml:space="preserve">          5059 - PURCHASES @ COST-FOOD</v>
      </c>
      <c r="C122" s="11"/>
      <c r="D122" s="2">
        <v>-30419.16</v>
      </c>
      <c r="E122" s="2"/>
      <c r="F122" s="19">
        <f t="shared" si="20"/>
        <v>-1.9190330289529579E-2</v>
      </c>
      <c r="G122" s="2"/>
      <c r="H122" s="2">
        <v>2417</v>
      </c>
      <c r="I122" s="2"/>
      <c r="J122" s="19">
        <f t="shared" si="21"/>
        <v>1.6528483100002142E-3</v>
      </c>
      <c r="K122" s="2"/>
      <c r="L122" s="2">
        <f t="shared" si="22"/>
        <v>-32836.160000000003</v>
      </c>
      <c r="M122" s="2"/>
      <c r="N122" s="19">
        <f t="shared" si="23"/>
        <v>-13.585502689284239</v>
      </c>
      <c r="O122" s="11"/>
      <c r="P122" s="2">
        <v>-16298.37</v>
      </c>
      <c r="Q122" s="2"/>
      <c r="R122" s="19">
        <f t="shared" si="24"/>
        <v>-1.2575201089319462E-3</v>
      </c>
      <c r="S122" s="2"/>
      <c r="T122" s="2">
        <v>14195.29</v>
      </c>
      <c r="U122" s="2"/>
      <c r="V122" s="19">
        <f t="shared" si="25"/>
        <v>2.1490901686006814E-3</v>
      </c>
      <c r="W122" s="2"/>
      <c r="X122" s="2">
        <f t="shared" si="26"/>
        <v>-30493.660000000003</v>
      </c>
      <c r="Y122" s="2"/>
      <c r="Z122" s="19">
        <f t="shared" si="27"/>
        <v>-2.1481533663630685</v>
      </c>
    </row>
    <row r="123" spans="1:26" s="24" customFormat="1" hidden="1" outlineLevel="1" x14ac:dyDescent="0.3">
      <c r="A123" s="44"/>
      <c r="B123" s="11" t="str">
        <f>CONCATENATE("          ", "5081", " - ", "PURCHASES @ COST-ELECTRONICS")</f>
        <v xml:space="preserve">          5081 - PURCHASES @ COST-ELECTRONICS</v>
      </c>
      <c r="C123" s="11"/>
      <c r="D123" s="2"/>
      <c r="E123" s="2"/>
      <c r="F123" s="19">
        <f t="shared" si="20"/>
        <v>0</v>
      </c>
      <c r="G123" s="2"/>
      <c r="H123" s="2">
        <v>313.26</v>
      </c>
      <c r="I123" s="2"/>
      <c r="J123" s="19">
        <f t="shared" si="21"/>
        <v>2.1422062953689163E-4</v>
      </c>
      <c r="K123" s="2"/>
      <c r="L123" s="2">
        <f t="shared" si="22"/>
        <v>-313.26</v>
      </c>
      <c r="M123" s="2"/>
      <c r="N123" s="19">
        <f t="shared" si="23"/>
        <v>-1</v>
      </c>
      <c r="O123" s="11"/>
      <c r="P123" s="2">
        <v>0</v>
      </c>
      <c r="Q123" s="2"/>
      <c r="R123" s="19">
        <f t="shared" si="24"/>
        <v>0</v>
      </c>
      <c r="S123" s="2"/>
      <c r="T123" s="2">
        <v>25573.77</v>
      </c>
      <c r="U123" s="2"/>
      <c r="V123" s="19">
        <f t="shared" si="25"/>
        <v>3.8717305304122032E-3</v>
      </c>
      <c r="W123" s="2"/>
      <c r="X123" s="2">
        <f t="shared" si="26"/>
        <v>-25573.77</v>
      </c>
      <c r="Y123" s="2"/>
      <c r="Z123" s="19">
        <f t="shared" si="27"/>
        <v>-1</v>
      </c>
    </row>
    <row r="124" spans="1:26" s="24" customFormat="1" hidden="1" outlineLevel="1" x14ac:dyDescent="0.3">
      <c r="A124" s="44"/>
      <c r="B124" s="11" t="str">
        <f>CONCATENATE("          ", "5082", " - ", "PURCHASES @ COST-COMPUTER HARD")</f>
        <v xml:space="preserve">          5082 - PURCHASES @ COST-COMPUTER HARD</v>
      </c>
      <c r="C124" s="11"/>
      <c r="D124" s="2">
        <v>-6938.92</v>
      </c>
      <c r="E124" s="2"/>
      <c r="F124" s="19">
        <f t="shared" si="20"/>
        <v>-4.3775096568288733E-3</v>
      </c>
      <c r="G124" s="2"/>
      <c r="H124" s="2">
        <v>98264.71</v>
      </c>
      <c r="I124" s="2"/>
      <c r="J124" s="19">
        <f t="shared" si="21"/>
        <v>6.7197625095639701E-2</v>
      </c>
      <c r="K124" s="2"/>
      <c r="L124" s="2">
        <f t="shared" si="22"/>
        <v>-105203.63</v>
      </c>
      <c r="M124" s="2"/>
      <c r="N124" s="19">
        <f t="shared" si="23"/>
        <v>-1.0706145675288716</v>
      </c>
      <c r="O124" s="11"/>
      <c r="P124" s="2">
        <v>-93808.4</v>
      </c>
      <c r="Q124" s="2"/>
      <c r="R124" s="19">
        <f t="shared" si="24"/>
        <v>-7.2378985988618234E-3</v>
      </c>
      <c r="S124" s="2"/>
      <c r="T124" s="2">
        <v>1079201.53</v>
      </c>
      <c r="U124" s="2"/>
      <c r="V124" s="19">
        <f t="shared" si="25"/>
        <v>0.16338527765630806</v>
      </c>
      <c r="W124" s="2"/>
      <c r="X124" s="2">
        <f t="shared" si="26"/>
        <v>-1173009.93</v>
      </c>
      <c r="Y124" s="2"/>
      <c r="Z124" s="19">
        <f t="shared" si="27"/>
        <v>-1.0869238945574882</v>
      </c>
    </row>
    <row r="125" spans="1:26" s="24" customFormat="1" hidden="1" outlineLevel="1" x14ac:dyDescent="0.3">
      <c r="A125" s="44"/>
      <c r="B125" s="11" t="str">
        <f>CONCATENATE("          ", "5083", " - ", "PURCHASES @ COST-COMPUTER EQUI")</f>
        <v xml:space="preserve">          5083 - PURCHASES @ COST-COMPUTER EQUI</v>
      </c>
      <c r="C125" s="11"/>
      <c r="D125" s="2"/>
      <c r="E125" s="2"/>
      <c r="F125" s="19">
        <f t="shared" si="20"/>
        <v>0</v>
      </c>
      <c r="G125" s="2"/>
      <c r="H125" s="2">
        <v>8829.83</v>
      </c>
      <c r="I125" s="2"/>
      <c r="J125" s="19">
        <f t="shared" si="21"/>
        <v>6.0382166293294131E-3</v>
      </c>
      <c r="K125" s="2"/>
      <c r="L125" s="2">
        <f t="shared" si="22"/>
        <v>-8829.83</v>
      </c>
      <c r="M125" s="2"/>
      <c r="N125" s="19">
        <f t="shared" si="23"/>
        <v>-1</v>
      </c>
      <c r="O125" s="11"/>
      <c r="P125" s="2">
        <v>0</v>
      </c>
      <c r="Q125" s="2"/>
      <c r="R125" s="19">
        <f t="shared" si="24"/>
        <v>0</v>
      </c>
      <c r="S125" s="2"/>
      <c r="T125" s="2">
        <v>90556.67</v>
      </c>
      <c r="U125" s="2"/>
      <c r="V125" s="19">
        <f t="shared" si="25"/>
        <v>1.3709790303559578E-2</v>
      </c>
      <c r="W125" s="2"/>
      <c r="X125" s="2">
        <f t="shared" si="26"/>
        <v>-90556.67</v>
      </c>
      <c r="Y125" s="2"/>
      <c r="Z125" s="19">
        <f t="shared" si="27"/>
        <v>-1</v>
      </c>
    </row>
    <row r="126" spans="1:26" s="24" customFormat="1" hidden="1" outlineLevel="1" x14ac:dyDescent="0.3">
      <c r="A126" s="44"/>
      <c r="B126" s="11" t="str">
        <f>CONCATENATE("          ", "5085", " - ", "PURCHASES @ COST-SOFTWARE")</f>
        <v xml:space="preserve">          5085 - PURCHASES @ COST-SOFTWARE</v>
      </c>
      <c r="C126" s="11"/>
      <c r="D126" s="2"/>
      <c r="E126" s="2"/>
      <c r="F126" s="19">
        <f t="shared" si="20"/>
        <v>0</v>
      </c>
      <c r="G126" s="2"/>
      <c r="H126" s="2">
        <v>4174.1400000000003</v>
      </c>
      <c r="I126" s="2"/>
      <c r="J126" s="19">
        <f t="shared" si="21"/>
        <v>2.8544560383551073E-3</v>
      </c>
      <c r="K126" s="2"/>
      <c r="L126" s="2">
        <f t="shared" si="22"/>
        <v>-4174.1400000000003</v>
      </c>
      <c r="M126" s="2"/>
      <c r="N126" s="19">
        <f t="shared" si="23"/>
        <v>-1</v>
      </c>
      <c r="O126" s="11"/>
      <c r="P126" s="2">
        <v>0</v>
      </c>
      <c r="Q126" s="2"/>
      <c r="R126" s="19">
        <f t="shared" si="24"/>
        <v>0</v>
      </c>
      <c r="S126" s="2"/>
      <c r="T126" s="2">
        <v>28746.22</v>
      </c>
      <c r="U126" s="2"/>
      <c r="V126" s="19">
        <f t="shared" si="25"/>
        <v>4.3520223106701082E-3</v>
      </c>
      <c r="W126" s="2"/>
      <c r="X126" s="2">
        <f t="shared" si="26"/>
        <v>-28746.22</v>
      </c>
      <c r="Y126" s="2"/>
      <c r="Z126" s="19">
        <f t="shared" si="27"/>
        <v>-1</v>
      </c>
    </row>
    <row r="127" spans="1:26" s="24" customFormat="1" hidden="1" outlineLevel="1" x14ac:dyDescent="0.3">
      <c r="A127" s="44"/>
      <c r="B127" s="11" t="str">
        <f>CONCATENATE("          ", "5086", " - ", "PURCHASES @ COST-COMPUTER SUPP")</f>
        <v xml:space="preserve">          5086 - PURCHASES @ COST-COMPUTER SUPP</v>
      </c>
      <c r="C127" s="11"/>
      <c r="D127" s="2"/>
      <c r="E127" s="2"/>
      <c r="F127" s="19">
        <f t="shared" si="20"/>
        <v>0</v>
      </c>
      <c r="G127" s="2"/>
      <c r="H127" s="2">
        <v>21.24</v>
      </c>
      <c r="I127" s="2"/>
      <c r="J127" s="19">
        <f t="shared" si="21"/>
        <v>1.4524823377908377E-5</v>
      </c>
      <c r="K127" s="2"/>
      <c r="L127" s="2">
        <f t="shared" si="22"/>
        <v>-21.24</v>
      </c>
      <c r="M127" s="2"/>
      <c r="N127" s="19">
        <f t="shared" si="23"/>
        <v>-1</v>
      </c>
      <c r="O127" s="11"/>
      <c r="P127" s="2">
        <v>0</v>
      </c>
      <c r="Q127" s="2"/>
      <c r="R127" s="19">
        <f t="shared" si="24"/>
        <v>0</v>
      </c>
      <c r="S127" s="2"/>
      <c r="T127" s="2">
        <v>22739.85</v>
      </c>
      <c r="U127" s="2"/>
      <c r="V127" s="19">
        <f t="shared" si="25"/>
        <v>3.4426903621168851E-3</v>
      </c>
      <c r="W127" s="2"/>
      <c r="X127" s="2">
        <f t="shared" si="26"/>
        <v>-22739.85</v>
      </c>
      <c r="Y127" s="2"/>
      <c r="Z127" s="19">
        <f t="shared" si="27"/>
        <v>-1</v>
      </c>
    </row>
    <row r="128" spans="1:26" s="24" customFormat="1" hidden="1" outlineLevel="1" x14ac:dyDescent="0.3">
      <c r="A128" s="44"/>
      <c r="B128" s="11" t="str">
        <f>CONCATENATE("          ", "5092", " - ", "PURCHASES @ COST-GRAD MERCH")</f>
        <v xml:space="preserve">          5092 - PURCHASES @ COST-GRAD MERCH</v>
      </c>
      <c r="C128" s="11"/>
      <c r="D128" s="2"/>
      <c r="E128" s="2"/>
      <c r="F128" s="19">
        <f t="shared" si="20"/>
        <v>0</v>
      </c>
      <c r="G128" s="2"/>
      <c r="H128" s="2"/>
      <c r="I128" s="2"/>
      <c r="J128" s="19">
        <f t="shared" si="21"/>
        <v>0</v>
      </c>
      <c r="K128" s="2"/>
      <c r="L128" s="2">
        <f t="shared" si="22"/>
        <v>0</v>
      </c>
      <c r="M128" s="2"/>
      <c r="N128" s="19">
        <f t="shared" si="23"/>
        <v>0</v>
      </c>
      <c r="O128" s="11"/>
      <c r="P128" s="2"/>
      <c r="Q128" s="2"/>
      <c r="R128" s="19">
        <f t="shared" si="24"/>
        <v>0</v>
      </c>
      <c r="S128" s="2"/>
      <c r="T128" s="2">
        <v>0</v>
      </c>
      <c r="U128" s="2"/>
      <c r="V128" s="19">
        <f t="shared" si="25"/>
        <v>0</v>
      </c>
      <c r="W128" s="2"/>
      <c r="X128" s="2">
        <f t="shared" si="26"/>
        <v>0</v>
      </c>
      <c r="Y128" s="2"/>
      <c r="Z128" s="19">
        <f t="shared" si="27"/>
        <v>0</v>
      </c>
    </row>
    <row r="129" spans="1:26" s="24" customFormat="1" hidden="1" outlineLevel="1" x14ac:dyDescent="0.3">
      <c r="A129" s="44"/>
      <c r="B129" s="11" t="str">
        <f>CONCATENATE("          ", "5200", " - ", "PURCHASES OFFSET")</f>
        <v xml:space="preserve">          5200 - PURCHASES OFFSET</v>
      </c>
      <c r="C129" s="11"/>
      <c r="D129" s="2">
        <v>-571503.94999999995</v>
      </c>
      <c r="E129" s="2"/>
      <c r="F129" s="19">
        <f t="shared" si="20"/>
        <v>-0.36054084209658643</v>
      </c>
      <c r="G129" s="2"/>
      <c r="H129" s="2">
        <v>-502374.21</v>
      </c>
      <c r="I129" s="2"/>
      <c r="J129" s="19">
        <f t="shared" si="21"/>
        <v>-0.34354504095415506</v>
      </c>
      <c r="K129" s="2"/>
      <c r="L129" s="2">
        <f t="shared" si="22"/>
        <v>-69129.739999999932</v>
      </c>
      <c r="M129" s="2"/>
      <c r="N129" s="19">
        <f t="shared" si="23"/>
        <v>0.13760606859177729</v>
      </c>
      <c r="O129" s="11"/>
      <c r="P129" s="2">
        <v>-3849781.86</v>
      </c>
      <c r="Q129" s="2"/>
      <c r="R129" s="19">
        <f t="shared" si="24"/>
        <v>-0.29703449510297225</v>
      </c>
      <c r="S129" s="2"/>
      <c r="T129" s="2">
        <v>-3379047.18</v>
      </c>
      <c r="U129" s="2"/>
      <c r="V129" s="19">
        <f t="shared" si="25"/>
        <v>-0.51156947647958273</v>
      </c>
      <c r="W129" s="2"/>
      <c r="X129" s="2">
        <f t="shared" si="26"/>
        <v>-470734.6799999997</v>
      </c>
      <c r="Y129" s="2"/>
      <c r="Z129" s="19">
        <f t="shared" si="27"/>
        <v>0.13930988675926084</v>
      </c>
    </row>
    <row r="130" spans="1:26" s="24" customFormat="1" hidden="1" outlineLevel="1" x14ac:dyDescent="0.3">
      <c r="A130" s="44"/>
      <c r="B130" s="11" t="str">
        <f>CONCATENATE("          ", "5300", " - ", "COG$ OFFSET")</f>
        <v xml:space="preserve">          5300 - COG$ OFFSET</v>
      </c>
      <c r="C130" s="11"/>
      <c r="D130" s="2">
        <v>553059.96</v>
      </c>
      <c r="E130" s="2"/>
      <c r="F130" s="19">
        <f t="shared" si="20"/>
        <v>0.34890520653147611</v>
      </c>
      <c r="G130" s="2"/>
      <c r="H130" s="2">
        <v>695026</v>
      </c>
      <c r="I130" s="2"/>
      <c r="J130" s="19">
        <f t="shared" si="21"/>
        <v>0.47528860136789775</v>
      </c>
      <c r="K130" s="2"/>
      <c r="L130" s="2">
        <f t="shared" si="22"/>
        <v>-141966.04000000004</v>
      </c>
      <c r="M130" s="2"/>
      <c r="N130" s="19">
        <f t="shared" si="23"/>
        <v>-0.20426004207036863</v>
      </c>
      <c r="O130" s="11"/>
      <c r="P130" s="2">
        <v>3423132.83</v>
      </c>
      <c r="Q130" s="2"/>
      <c r="R130" s="19">
        <f t="shared" si="24"/>
        <v>0.26411588209557896</v>
      </c>
      <c r="S130" s="2"/>
      <c r="T130" s="2">
        <v>3298180</v>
      </c>
      <c r="U130" s="2"/>
      <c r="V130" s="19">
        <f t="shared" si="25"/>
        <v>0.49932662258223642</v>
      </c>
      <c r="W130" s="2"/>
      <c r="X130" s="2">
        <f t="shared" si="26"/>
        <v>124952.83000000007</v>
      </c>
      <c r="Y130" s="2"/>
      <c r="Z130" s="19">
        <f t="shared" si="27"/>
        <v>3.7885388305065243E-2</v>
      </c>
    </row>
    <row r="131" spans="1:26" s="24" customFormat="1" hidden="1" outlineLevel="1" x14ac:dyDescent="0.3">
      <c r="A131" s="44"/>
      <c r="B131" s="11" t="str">
        <f>CONCATENATE("          ", "5500", " - ", "FREIGHT-IN")</f>
        <v xml:space="preserve">          5500 - FREIGHT-IN</v>
      </c>
      <c r="C131" s="11"/>
      <c r="D131" s="2">
        <v>21927.71</v>
      </c>
      <c r="E131" s="2"/>
      <c r="F131" s="19">
        <f t="shared" si="20"/>
        <v>1.3833386503539895E-2</v>
      </c>
      <c r="G131" s="2"/>
      <c r="H131" s="2">
        <v>0</v>
      </c>
      <c r="I131" s="2"/>
      <c r="J131" s="19">
        <f t="shared" si="21"/>
        <v>0</v>
      </c>
      <c r="K131" s="2"/>
      <c r="L131" s="2">
        <f t="shared" si="22"/>
        <v>21927.71</v>
      </c>
      <c r="M131" s="2"/>
      <c r="N131" s="19">
        <f t="shared" si="23"/>
        <v>0</v>
      </c>
      <c r="O131" s="11"/>
      <c r="P131" s="2">
        <v>92254.2</v>
      </c>
      <c r="Q131" s="2"/>
      <c r="R131" s="19">
        <f t="shared" si="24"/>
        <v>7.1179824506027011E-3</v>
      </c>
      <c r="S131" s="2"/>
      <c r="T131" s="2">
        <v>0</v>
      </c>
      <c r="U131" s="2"/>
      <c r="V131" s="19">
        <f t="shared" si="25"/>
        <v>0</v>
      </c>
      <c r="W131" s="2"/>
      <c r="X131" s="2">
        <f t="shared" si="26"/>
        <v>92254.2</v>
      </c>
      <c r="Y131" s="2"/>
      <c r="Z131" s="19">
        <f t="shared" si="27"/>
        <v>0</v>
      </c>
    </row>
    <row r="132" spans="1:26" s="24" customFormat="1" hidden="1" outlineLevel="1" x14ac:dyDescent="0.3">
      <c r="A132" s="44"/>
      <c r="B132" s="11" t="str">
        <f>CONCATENATE("          ", "5501", " - ", "FREIGHT-IN-NEW TEXT")</f>
        <v xml:space="preserve">          5501 - FREIGHT-IN-NEW TEXT</v>
      </c>
      <c r="C132" s="11"/>
      <c r="D132" s="2"/>
      <c r="E132" s="2"/>
      <c r="F132" s="19">
        <f t="shared" si="20"/>
        <v>0</v>
      </c>
      <c r="G132" s="2"/>
      <c r="H132" s="2">
        <v>7155.21</v>
      </c>
      <c r="I132" s="2"/>
      <c r="J132" s="19">
        <f t="shared" si="21"/>
        <v>4.8930396177892565E-3</v>
      </c>
      <c r="K132" s="2"/>
      <c r="L132" s="2">
        <f t="shared" si="22"/>
        <v>-7155.21</v>
      </c>
      <c r="M132" s="2"/>
      <c r="N132" s="19">
        <f t="shared" si="23"/>
        <v>-1</v>
      </c>
      <c r="O132" s="11"/>
      <c r="P132" s="2">
        <v>0</v>
      </c>
      <c r="Q132" s="2"/>
      <c r="R132" s="19">
        <f t="shared" si="24"/>
        <v>0</v>
      </c>
      <c r="S132" s="2"/>
      <c r="T132" s="2">
        <v>44618.79</v>
      </c>
      <c r="U132" s="2"/>
      <c r="V132" s="19">
        <f t="shared" si="25"/>
        <v>6.7550436041714113E-3</v>
      </c>
      <c r="W132" s="2"/>
      <c r="X132" s="2">
        <f t="shared" si="26"/>
        <v>-44618.79</v>
      </c>
      <c r="Y132" s="2"/>
      <c r="Z132" s="19">
        <f t="shared" si="27"/>
        <v>-1</v>
      </c>
    </row>
    <row r="133" spans="1:26" s="24" customFormat="1" hidden="1" outlineLevel="1" x14ac:dyDescent="0.3">
      <c r="A133" s="44"/>
      <c r="B133" s="11" t="str">
        <f>CONCATENATE("          ", "5502", " - ", "FREIGHT-IN-USED TEXT")</f>
        <v xml:space="preserve">          5502 - FREIGHT-IN-USED TEXT</v>
      </c>
      <c r="C133" s="11"/>
      <c r="D133" s="2"/>
      <c r="E133" s="2"/>
      <c r="F133" s="19">
        <f t="shared" si="20"/>
        <v>0</v>
      </c>
      <c r="G133" s="2"/>
      <c r="H133" s="2">
        <v>2129.7399999999998</v>
      </c>
      <c r="I133" s="2"/>
      <c r="J133" s="19">
        <f t="shared" si="21"/>
        <v>1.4564075960859975E-3</v>
      </c>
      <c r="K133" s="2"/>
      <c r="L133" s="2">
        <f t="shared" si="22"/>
        <v>-2129.7399999999998</v>
      </c>
      <c r="M133" s="2"/>
      <c r="N133" s="19">
        <f t="shared" si="23"/>
        <v>-1</v>
      </c>
      <c r="O133" s="11"/>
      <c r="P133" s="2">
        <v>0</v>
      </c>
      <c r="Q133" s="2"/>
      <c r="R133" s="19">
        <f t="shared" si="24"/>
        <v>0</v>
      </c>
      <c r="S133" s="2"/>
      <c r="T133" s="2">
        <v>15652.31</v>
      </c>
      <c r="U133" s="2"/>
      <c r="V133" s="19">
        <f t="shared" si="25"/>
        <v>2.3696751201905792E-3</v>
      </c>
      <c r="W133" s="2"/>
      <c r="X133" s="2">
        <f t="shared" si="26"/>
        <v>-15652.31</v>
      </c>
      <c r="Y133" s="2"/>
      <c r="Z133" s="19">
        <f t="shared" si="27"/>
        <v>-1</v>
      </c>
    </row>
    <row r="134" spans="1:26" s="24" customFormat="1" hidden="1" outlineLevel="1" x14ac:dyDescent="0.3">
      <c r="A134" s="44"/>
      <c r="B134" s="11" t="str">
        <f>CONCATENATE("          ", "5504", " - ", "FREIGHT-IN-DIGITAL TEXT")</f>
        <v xml:space="preserve">          5504 - FREIGHT-IN-DIGITAL TEXT</v>
      </c>
      <c r="C134" s="11"/>
      <c r="D134" s="2"/>
      <c r="E134" s="2"/>
      <c r="F134" s="19">
        <f t="shared" si="20"/>
        <v>0</v>
      </c>
      <c r="G134" s="2"/>
      <c r="H134" s="2"/>
      <c r="I134" s="2"/>
      <c r="J134" s="19">
        <f t="shared" si="21"/>
        <v>0</v>
      </c>
      <c r="K134" s="2"/>
      <c r="L134" s="2">
        <f t="shared" si="22"/>
        <v>0</v>
      </c>
      <c r="M134" s="2"/>
      <c r="N134" s="19">
        <f t="shared" si="23"/>
        <v>0</v>
      </c>
      <c r="O134" s="11"/>
      <c r="P134" s="2"/>
      <c r="Q134" s="2"/>
      <c r="R134" s="19">
        <f t="shared" si="24"/>
        <v>0</v>
      </c>
      <c r="S134" s="2"/>
      <c r="T134" s="2">
        <v>21.98</v>
      </c>
      <c r="U134" s="2"/>
      <c r="V134" s="19">
        <f t="shared" si="25"/>
        <v>3.3276531797408138E-6</v>
      </c>
      <c r="W134" s="2"/>
      <c r="X134" s="2">
        <f t="shared" si="26"/>
        <v>-21.98</v>
      </c>
      <c r="Y134" s="2"/>
      <c r="Z134" s="19">
        <f t="shared" si="27"/>
        <v>-1</v>
      </c>
    </row>
    <row r="135" spans="1:26" s="24" customFormat="1" hidden="1" outlineLevel="1" x14ac:dyDescent="0.3">
      <c r="A135" s="44"/>
      <c r="B135" s="11" t="str">
        <f>CONCATENATE("          ", "5513", " - ", "FREIGHT-IN-TRADE BOOKS")</f>
        <v xml:space="preserve">          5513 - FREIGHT-IN-TRADE BOOKS</v>
      </c>
      <c r="C135" s="11"/>
      <c r="D135" s="2"/>
      <c r="E135" s="2"/>
      <c r="F135" s="19">
        <f t="shared" si="20"/>
        <v>0</v>
      </c>
      <c r="G135" s="2"/>
      <c r="H135" s="2">
        <v>7.06</v>
      </c>
      <c r="I135" s="2"/>
      <c r="J135" s="19">
        <f t="shared" si="21"/>
        <v>4.827930934464837E-6</v>
      </c>
      <c r="K135" s="2"/>
      <c r="L135" s="2">
        <f t="shared" si="22"/>
        <v>-7.06</v>
      </c>
      <c r="M135" s="2"/>
      <c r="N135" s="19">
        <f t="shared" si="23"/>
        <v>-1</v>
      </c>
      <c r="O135" s="11"/>
      <c r="P135" s="2"/>
      <c r="Q135" s="2"/>
      <c r="R135" s="19">
        <f t="shared" si="24"/>
        <v>0</v>
      </c>
      <c r="S135" s="2"/>
      <c r="T135" s="2">
        <v>33.520000000000003</v>
      </c>
      <c r="U135" s="2"/>
      <c r="V135" s="19">
        <f t="shared" si="25"/>
        <v>5.0747467964018238E-6</v>
      </c>
      <c r="W135" s="2"/>
      <c r="X135" s="2">
        <f t="shared" si="26"/>
        <v>-33.520000000000003</v>
      </c>
      <c r="Y135" s="2"/>
      <c r="Z135" s="19">
        <f t="shared" si="27"/>
        <v>-1</v>
      </c>
    </row>
    <row r="136" spans="1:26" s="24" customFormat="1" hidden="1" outlineLevel="1" x14ac:dyDescent="0.3">
      <c r="A136" s="44"/>
      <c r="B136" s="11" t="str">
        <f>CONCATENATE("          ", "5518", " - ", "FREIGHT-IN-STUDY GUIDES")</f>
        <v xml:space="preserve">          5518 - FREIGHT-IN-STUDY GUIDES</v>
      </c>
      <c r="C136" s="11"/>
      <c r="D136" s="2"/>
      <c r="E136" s="2"/>
      <c r="F136" s="19">
        <f t="shared" si="20"/>
        <v>0</v>
      </c>
      <c r="G136" s="2"/>
      <c r="H136" s="2"/>
      <c r="I136" s="2"/>
      <c r="J136" s="19">
        <f t="shared" si="21"/>
        <v>0</v>
      </c>
      <c r="K136" s="2"/>
      <c r="L136" s="2">
        <f t="shared" si="22"/>
        <v>0</v>
      </c>
      <c r="M136" s="2"/>
      <c r="N136" s="19">
        <f t="shared" si="23"/>
        <v>0</v>
      </c>
      <c r="O136" s="11"/>
      <c r="P136" s="2">
        <v>0</v>
      </c>
      <c r="Q136" s="2"/>
      <c r="R136" s="19">
        <f t="shared" si="24"/>
        <v>0</v>
      </c>
      <c r="S136" s="2"/>
      <c r="T136" s="2"/>
      <c r="U136" s="2"/>
      <c r="V136" s="19">
        <f t="shared" si="25"/>
        <v>0</v>
      </c>
      <c r="W136" s="2"/>
      <c r="X136" s="2">
        <f t="shared" si="26"/>
        <v>0</v>
      </c>
      <c r="Y136" s="2"/>
      <c r="Z136" s="19">
        <f t="shared" si="27"/>
        <v>0</v>
      </c>
    </row>
    <row r="137" spans="1:26" s="24" customFormat="1" hidden="1" outlineLevel="1" x14ac:dyDescent="0.3">
      <c r="A137" s="44"/>
      <c r="B137" s="11" t="str">
        <f>CONCATENATE("          ", "5525", " - ", "FREIGHT-IN-TEST FORMS")</f>
        <v xml:space="preserve">          5525 - FREIGHT-IN-TEST FORMS</v>
      </c>
      <c r="C137" s="11"/>
      <c r="D137" s="2"/>
      <c r="E137" s="2"/>
      <c r="F137" s="19">
        <f t="shared" si="20"/>
        <v>0</v>
      </c>
      <c r="G137" s="2"/>
      <c r="H137" s="2"/>
      <c r="I137" s="2"/>
      <c r="J137" s="19">
        <f t="shared" si="21"/>
        <v>0</v>
      </c>
      <c r="K137" s="2"/>
      <c r="L137" s="2">
        <f t="shared" si="22"/>
        <v>0</v>
      </c>
      <c r="M137" s="2"/>
      <c r="N137" s="19">
        <f t="shared" si="23"/>
        <v>0</v>
      </c>
      <c r="O137" s="11"/>
      <c r="P137" s="2"/>
      <c r="Q137" s="2"/>
      <c r="R137" s="19">
        <f t="shared" si="24"/>
        <v>0</v>
      </c>
      <c r="S137" s="2"/>
      <c r="T137" s="2">
        <v>48.14</v>
      </c>
      <c r="U137" s="2"/>
      <c r="V137" s="19">
        <f t="shared" si="25"/>
        <v>7.2881357630902073E-6</v>
      </c>
      <c r="W137" s="2"/>
      <c r="X137" s="2">
        <f t="shared" si="26"/>
        <v>-48.14</v>
      </c>
      <c r="Y137" s="2"/>
      <c r="Z137" s="19">
        <f t="shared" si="27"/>
        <v>-1</v>
      </c>
    </row>
    <row r="138" spans="1:26" s="24" customFormat="1" hidden="1" outlineLevel="1" x14ac:dyDescent="0.3">
      <c r="A138" s="44"/>
      <c r="B138" s="11" t="str">
        <f>CONCATENATE("          ", "5526", " - ", "FREIGHT-IN-WRITING INSTRUMENTS")</f>
        <v xml:space="preserve">          5526 - FREIGHT-IN-WRITING INSTRUMENTS</v>
      </c>
      <c r="C138" s="11"/>
      <c r="D138" s="2"/>
      <c r="E138" s="2"/>
      <c r="F138" s="19">
        <f t="shared" si="20"/>
        <v>0</v>
      </c>
      <c r="G138" s="2"/>
      <c r="H138" s="2"/>
      <c r="I138" s="2"/>
      <c r="J138" s="19">
        <f t="shared" si="21"/>
        <v>0</v>
      </c>
      <c r="K138" s="2"/>
      <c r="L138" s="2">
        <f t="shared" si="22"/>
        <v>0</v>
      </c>
      <c r="M138" s="2"/>
      <c r="N138" s="19">
        <f t="shared" si="23"/>
        <v>0</v>
      </c>
      <c r="O138" s="11"/>
      <c r="P138" s="2"/>
      <c r="Q138" s="2"/>
      <c r="R138" s="19">
        <f t="shared" si="24"/>
        <v>0</v>
      </c>
      <c r="S138" s="2"/>
      <c r="T138" s="2">
        <v>0</v>
      </c>
      <c r="U138" s="2"/>
      <c r="V138" s="19">
        <f t="shared" si="25"/>
        <v>0</v>
      </c>
      <c r="W138" s="2"/>
      <c r="X138" s="2">
        <f t="shared" si="26"/>
        <v>0</v>
      </c>
      <c r="Y138" s="2"/>
      <c r="Z138" s="19">
        <f t="shared" si="27"/>
        <v>0</v>
      </c>
    </row>
    <row r="139" spans="1:26" s="24" customFormat="1" hidden="1" outlineLevel="1" x14ac:dyDescent="0.3">
      <c r="A139" s="44"/>
      <c r="B139" s="11" t="str">
        <f>CONCATENATE("          ", "5527", " - ", "FREIGHT-IN-SCHOOL SUPPLIES")</f>
        <v xml:space="preserve">          5527 - FREIGHT-IN-SCHOOL SUPPLIES</v>
      </c>
      <c r="C139" s="11"/>
      <c r="D139" s="2"/>
      <c r="E139" s="2"/>
      <c r="F139" s="19">
        <f t="shared" si="20"/>
        <v>0</v>
      </c>
      <c r="G139" s="2"/>
      <c r="H139" s="2"/>
      <c r="I139" s="2"/>
      <c r="J139" s="19">
        <f t="shared" si="21"/>
        <v>0</v>
      </c>
      <c r="K139" s="2"/>
      <c r="L139" s="2">
        <f t="shared" si="22"/>
        <v>0</v>
      </c>
      <c r="M139" s="2"/>
      <c r="N139" s="19">
        <f t="shared" si="23"/>
        <v>0</v>
      </c>
      <c r="O139" s="11"/>
      <c r="P139" s="2">
        <v>0</v>
      </c>
      <c r="Q139" s="2"/>
      <c r="R139" s="19">
        <f t="shared" si="24"/>
        <v>0</v>
      </c>
      <c r="S139" s="2"/>
      <c r="T139" s="2">
        <v>177.5</v>
      </c>
      <c r="U139" s="2"/>
      <c r="V139" s="19">
        <f t="shared" si="25"/>
        <v>2.6872540464239964E-5</v>
      </c>
      <c r="W139" s="2"/>
      <c r="X139" s="2">
        <f t="shared" si="26"/>
        <v>-177.5</v>
      </c>
      <c r="Y139" s="2"/>
      <c r="Z139" s="19">
        <f t="shared" si="27"/>
        <v>-1</v>
      </c>
    </row>
    <row r="140" spans="1:26" s="24" customFormat="1" hidden="1" outlineLevel="1" x14ac:dyDescent="0.3">
      <c r="A140" s="44"/>
      <c r="B140" s="11" t="str">
        <f>CONCATENATE("          ", "5528", " - ", "FREIGHT-IN-ART/TECH")</f>
        <v xml:space="preserve">          5528 - FREIGHT-IN-ART/TECH</v>
      </c>
      <c r="C140" s="11"/>
      <c r="D140" s="2"/>
      <c r="E140" s="2"/>
      <c r="F140" s="19">
        <f t="shared" si="20"/>
        <v>0</v>
      </c>
      <c r="G140" s="2"/>
      <c r="H140" s="2">
        <v>48.53</v>
      </c>
      <c r="I140" s="2"/>
      <c r="J140" s="19">
        <f t="shared" si="21"/>
        <v>3.3186896352631527E-5</v>
      </c>
      <c r="K140" s="2"/>
      <c r="L140" s="2">
        <f t="shared" si="22"/>
        <v>-48.53</v>
      </c>
      <c r="M140" s="2"/>
      <c r="N140" s="19">
        <f t="shared" si="23"/>
        <v>-1</v>
      </c>
      <c r="O140" s="11"/>
      <c r="P140" s="2">
        <v>0</v>
      </c>
      <c r="Q140" s="2"/>
      <c r="R140" s="19">
        <f t="shared" si="24"/>
        <v>0</v>
      </c>
      <c r="S140" s="2"/>
      <c r="T140" s="2">
        <v>338.74</v>
      </c>
      <c r="U140" s="2"/>
      <c r="V140" s="19">
        <f t="shared" si="25"/>
        <v>5.1283404827361381E-5</v>
      </c>
      <c r="W140" s="2"/>
      <c r="X140" s="2">
        <f t="shared" si="26"/>
        <v>-338.74</v>
      </c>
      <c r="Y140" s="2"/>
      <c r="Z140" s="19">
        <f t="shared" si="27"/>
        <v>-1</v>
      </c>
    </row>
    <row r="141" spans="1:26" s="24" customFormat="1" hidden="1" outlineLevel="1" x14ac:dyDescent="0.3">
      <c r="A141" s="44"/>
      <c r="B141" s="11" t="str">
        <f>CONCATENATE("          ", "5540", " - ", "FREIGHT-IN-LOGO CLOTHING")</f>
        <v xml:space="preserve">          5540 - FREIGHT-IN-LOGO CLOTHING</v>
      </c>
      <c r="C141" s="11"/>
      <c r="D141" s="2"/>
      <c r="E141" s="2"/>
      <c r="F141" s="19">
        <f t="shared" si="20"/>
        <v>0</v>
      </c>
      <c r="G141" s="2"/>
      <c r="H141" s="2">
        <v>347.67</v>
      </c>
      <c r="I141" s="2"/>
      <c r="J141" s="19">
        <f t="shared" si="21"/>
        <v>2.377516640205935E-4</v>
      </c>
      <c r="K141" s="2"/>
      <c r="L141" s="2">
        <f t="shared" si="22"/>
        <v>-347.67</v>
      </c>
      <c r="M141" s="2"/>
      <c r="N141" s="19">
        <f t="shared" si="23"/>
        <v>-1</v>
      </c>
      <c r="O141" s="11"/>
      <c r="P141" s="2">
        <v>0</v>
      </c>
      <c r="Q141" s="2"/>
      <c r="R141" s="19">
        <f t="shared" si="24"/>
        <v>0</v>
      </c>
      <c r="S141" s="2"/>
      <c r="T141" s="2">
        <v>5790.63</v>
      </c>
      <c r="U141" s="2"/>
      <c r="V141" s="19">
        <f t="shared" si="25"/>
        <v>8.7667007880812319E-4</v>
      </c>
      <c r="W141" s="2"/>
      <c r="X141" s="2">
        <f t="shared" si="26"/>
        <v>-5790.63</v>
      </c>
      <c r="Y141" s="2"/>
      <c r="Z141" s="19">
        <f t="shared" si="27"/>
        <v>-1</v>
      </c>
    </row>
    <row r="142" spans="1:26" s="24" customFormat="1" hidden="1" outlineLevel="1" x14ac:dyDescent="0.3">
      <c r="A142" s="44"/>
      <c r="B142" s="11" t="str">
        <f>CONCATENATE("          ", "5541", " - ", "FREIGHT-IN-LOGO GIFTS")</f>
        <v xml:space="preserve">          5541 - FREIGHT-IN-LOGO GIFTS</v>
      </c>
      <c r="C142" s="11"/>
      <c r="D142" s="2"/>
      <c r="E142" s="2"/>
      <c r="F142" s="19">
        <f t="shared" si="20"/>
        <v>0</v>
      </c>
      <c r="G142" s="2"/>
      <c r="H142" s="2">
        <v>182.93</v>
      </c>
      <c r="I142" s="2"/>
      <c r="J142" s="19">
        <f t="shared" si="21"/>
        <v>1.2509538326369019E-4</v>
      </c>
      <c r="K142" s="2"/>
      <c r="L142" s="2">
        <f t="shared" si="22"/>
        <v>-182.93</v>
      </c>
      <c r="M142" s="2"/>
      <c r="N142" s="19">
        <f t="shared" si="23"/>
        <v>-1</v>
      </c>
      <c r="O142" s="11"/>
      <c r="P142" s="2">
        <v>0</v>
      </c>
      <c r="Q142" s="2"/>
      <c r="R142" s="19">
        <f t="shared" si="24"/>
        <v>0</v>
      </c>
      <c r="S142" s="2"/>
      <c r="T142" s="2">
        <v>1702.87</v>
      </c>
      <c r="U142" s="2"/>
      <c r="V142" s="19">
        <f t="shared" si="25"/>
        <v>2.5780531256529749E-4</v>
      </c>
      <c r="W142" s="2"/>
      <c r="X142" s="2">
        <f t="shared" si="26"/>
        <v>-1702.87</v>
      </c>
      <c r="Y142" s="2"/>
      <c r="Z142" s="19">
        <f t="shared" si="27"/>
        <v>-1</v>
      </c>
    </row>
    <row r="143" spans="1:26" s="24" customFormat="1" hidden="1" outlineLevel="1" x14ac:dyDescent="0.3">
      <c r="A143" s="44"/>
      <c r="B143" s="11" t="str">
        <f>CONCATENATE("          ", "5542", " - ", "FREIGHT-IN-EVERYDAY GIFTS")</f>
        <v xml:space="preserve">          5542 - FREIGHT-IN-EVERYDAY GIFTS</v>
      </c>
      <c r="C143" s="11"/>
      <c r="D143" s="2"/>
      <c r="E143" s="2"/>
      <c r="F143" s="19">
        <f t="shared" si="20"/>
        <v>0</v>
      </c>
      <c r="G143" s="2"/>
      <c r="H143" s="2">
        <v>187.38</v>
      </c>
      <c r="I143" s="2"/>
      <c r="J143" s="19">
        <f t="shared" si="21"/>
        <v>1.2813848420680188E-4</v>
      </c>
      <c r="K143" s="2"/>
      <c r="L143" s="2">
        <f t="shared" si="22"/>
        <v>-187.38</v>
      </c>
      <c r="M143" s="2"/>
      <c r="N143" s="19">
        <f t="shared" si="23"/>
        <v>-1</v>
      </c>
      <c r="O143" s="11"/>
      <c r="P143" s="2">
        <v>0</v>
      </c>
      <c r="Q143" s="2"/>
      <c r="R143" s="19">
        <f t="shared" si="24"/>
        <v>0</v>
      </c>
      <c r="S143" s="2"/>
      <c r="T143" s="2">
        <v>383.93</v>
      </c>
      <c r="U143" s="2"/>
      <c r="V143" s="19">
        <f t="shared" si="25"/>
        <v>5.812492653766563E-5</v>
      </c>
      <c r="W143" s="2"/>
      <c r="X143" s="2">
        <f t="shared" si="26"/>
        <v>-383.93</v>
      </c>
      <c r="Y143" s="2"/>
      <c r="Z143" s="19">
        <f t="shared" si="27"/>
        <v>-1</v>
      </c>
    </row>
    <row r="144" spans="1:26" s="24" customFormat="1" hidden="1" outlineLevel="1" x14ac:dyDescent="0.3">
      <c r="A144" s="44"/>
      <c r="B144" s="11" t="str">
        <f>CONCATENATE("          ", "5543", " - ", "FREIGHT-IN-CARDS")</f>
        <v xml:space="preserve">          5543 - FREIGHT-IN-CARDS</v>
      </c>
      <c r="C144" s="11"/>
      <c r="D144" s="2"/>
      <c r="E144" s="2"/>
      <c r="F144" s="19">
        <f t="shared" si="20"/>
        <v>0</v>
      </c>
      <c r="G144" s="2"/>
      <c r="H144" s="2">
        <v>1992.81</v>
      </c>
      <c r="I144" s="2"/>
      <c r="J144" s="19">
        <f t="shared" si="21"/>
        <v>1.362768986616271E-3</v>
      </c>
      <c r="K144" s="2"/>
      <c r="L144" s="2">
        <f t="shared" si="22"/>
        <v>-1992.81</v>
      </c>
      <c r="M144" s="2"/>
      <c r="N144" s="19">
        <f t="shared" si="23"/>
        <v>-1</v>
      </c>
      <c r="O144" s="11"/>
      <c r="P144" s="2"/>
      <c r="Q144" s="2"/>
      <c r="R144" s="19">
        <f t="shared" si="24"/>
        <v>0</v>
      </c>
      <c r="S144" s="2"/>
      <c r="T144" s="2">
        <v>9110.5300000000007</v>
      </c>
      <c r="U144" s="2"/>
      <c r="V144" s="19">
        <f t="shared" si="25"/>
        <v>1.3792849919756177E-3</v>
      </c>
      <c r="W144" s="2"/>
      <c r="X144" s="2">
        <f t="shared" si="26"/>
        <v>-9110.5300000000007</v>
      </c>
      <c r="Y144" s="2"/>
      <c r="Z144" s="19">
        <f t="shared" si="27"/>
        <v>-1</v>
      </c>
    </row>
    <row r="145" spans="1:26" s="24" customFormat="1" hidden="1" outlineLevel="1" x14ac:dyDescent="0.3">
      <c r="A145" s="44"/>
      <c r="B145" s="11" t="str">
        <f>CONCATENATE("          ", "5544", " - ", "FREIGHT-IN-ACCESSORIES")</f>
        <v xml:space="preserve">          5544 - FREIGHT-IN-ACCESSORIES</v>
      </c>
      <c r="C145" s="11"/>
      <c r="D145" s="2"/>
      <c r="E145" s="2"/>
      <c r="F145" s="19">
        <f t="shared" si="20"/>
        <v>0</v>
      </c>
      <c r="G145" s="2"/>
      <c r="H145" s="2"/>
      <c r="I145" s="2"/>
      <c r="J145" s="19">
        <f t="shared" si="21"/>
        <v>0</v>
      </c>
      <c r="K145" s="2"/>
      <c r="L145" s="2">
        <f t="shared" si="22"/>
        <v>0</v>
      </c>
      <c r="M145" s="2"/>
      <c r="N145" s="19">
        <f t="shared" si="23"/>
        <v>0</v>
      </c>
      <c r="O145" s="11"/>
      <c r="P145" s="2">
        <v>0</v>
      </c>
      <c r="Q145" s="2"/>
      <c r="R145" s="19">
        <f t="shared" si="24"/>
        <v>0</v>
      </c>
      <c r="S145" s="2"/>
      <c r="T145" s="2"/>
      <c r="U145" s="2"/>
      <c r="V145" s="19">
        <f t="shared" si="25"/>
        <v>0</v>
      </c>
      <c r="W145" s="2"/>
      <c r="X145" s="2">
        <f t="shared" si="26"/>
        <v>0</v>
      </c>
      <c r="Y145" s="2"/>
      <c r="Z145" s="19">
        <f t="shared" si="27"/>
        <v>0</v>
      </c>
    </row>
    <row r="146" spans="1:26" s="24" customFormat="1" hidden="1" outlineLevel="1" x14ac:dyDescent="0.3">
      <c r="A146" s="44"/>
      <c r="B146" s="11" t="str">
        <f>CONCATENATE("          ", "5545", " - ", "FREIGHT-IN-SPECIAL ORDERS")</f>
        <v xml:space="preserve">          5545 - FREIGHT-IN-SPECIAL ORDERS</v>
      </c>
      <c r="C146" s="11"/>
      <c r="D146" s="2"/>
      <c r="E146" s="2"/>
      <c r="F146" s="19">
        <f t="shared" si="20"/>
        <v>0</v>
      </c>
      <c r="G146" s="2"/>
      <c r="H146" s="2"/>
      <c r="I146" s="2"/>
      <c r="J146" s="19">
        <f t="shared" si="21"/>
        <v>0</v>
      </c>
      <c r="K146" s="2"/>
      <c r="L146" s="2">
        <f t="shared" si="22"/>
        <v>0</v>
      </c>
      <c r="M146" s="2"/>
      <c r="N146" s="19">
        <f t="shared" si="23"/>
        <v>0</v>
      </c>
      <c r="O146" s="11"/>
      <c r="P146" s="2">
        <v>0</v>
      </c>
      <c r="Q146" s="2"/>
      <c r="R146" s="19">
        <f t="shared" si="24"/>
        <v>0</v>
      </c>
      <c r="S146" s="2"/>
      <c r="T146" s="2">
        <v>1113.79</v>
      </c>
      <c r="U146" s="2"/>
      <c r="V146" s="19">
        <f t="shared" si="25"/>
        <v>1.6862178503473707E-4</v>
      </c>
      <c r="W146" s="2"/>
      <c r="X146" s="2">
        <f t="shared" si="26"/>
        <v>-1113.79</v>
      </c>
      <c r="Y146" s="2"/>
      <c r="Z146" s="19">
        <f t="shared" si="27"/>
        <v>-1</v>
      </c>
    </row>
    <row r="147" spans="1:26" s="24" customFormat="1" hidden="1" outlineLevel="1" x14ac:dyDescent="0.3">
      <c r="A147" s="44"/>
      <c r="B147" s="11" t="str">
        <f>CONCATENATE("          ", "5581", " - ", "FREIGHT-IN-ELECTRONICS")</f>
        <v xml:space="preserve">          5581 - FREIGHT-IN-ELECTRONICS</v>
      </c>
      <c r="C147" s="11"/>
      <c r="D147" s="2"/>
      <c r="E147" s="2"/>
      <c r="F147" s="19">
        <f t="shared" si="20"/>
        <v>0</v>
      </c>
      <c r="G147" s="2"/>
      <c r="H147" s="2"/>
      <c r="I147" s="2"/>
      <c r="J147" s="19">
        <f t="shared" si="21"/>
        <v>0</v>
      </c>
      <c r="K147" s="2"/>
      <c r="L147" s="2">
        <f t="shared" si="22"/>
        <v>0</v>
      </c>
      <c r="M147" s="2"/>
      <c r="N147" s="19">
        <f t="shared" si="23"/>
        <v>0</v>
      </c>
      <c r="O147" s="11"/>
      <c r="P147" s="2"/>
      <c r="Q147" s="2"/>
      <c r="R147" s="19">
        <f t="shared" si="24"/>
        <v>0</v>
      </c>
      <c r="S147" s="2"/>
      <c r="T147" s="2">
        <v>31</v>
      </c>
      <c r="U147" s="2"/>
      <c r="V147" s="19">
        <f t="shared" si="25"/>
        <v>4.6932324191066975E-6</v>
      </c>
      <c r="W147" s="2"/>
      <c r="X147" s="2">
        <f t="shared" si="26"/>
        <v>-31</v>
      </c>
      <c r="Y147" s="2"/>
      <c r="Z147" s="19">
        <f t="shared" si="27"/>
        <v>-1</v>
      </c>
    </row>
    <row r="148" spans="1:26" s="24" customFormat="1" hidden="1" outlineLevel="1" x14ac:dyDescent="0.3">
      <c r="A148" s="44"/>
      <c r="B148" s="11" t="str">
        <f>CONCATENATE("          ", "5582", " - ", "FREIGHT-IN-COMPUTER HARDWARE")</f>
        <v xml:space="preserve">          5582 - FREIGHT-IN-COMPUTER HARDWARE</v>
      </c>
      <c r="C148" s="11"/>
      <c r="D148" s="2"/>
      <c r="E148" s="2"/>
      <c r="F148" s="19">
        <f t="shared" si="20"/>
        <v>0</v>
      </c>
      <c r="G148" s="2"/>
      <c r="H148" s="2"/>
      <c r="I148" s="2"/>
      <c r="J148" s="19">
        <f t="shared" si="21"/>
        <v>0</v>
      </c>
      <c r="K148" s="2"/>
      <c r="L148" s="2">
        <f t="shared" si="22"/>
        <v>0</v>
      </c>
      <c r="M148" s="2"/>
      <c r="N148" s="19">
        <f t="shared" si="23"/>
        <v>0</v>
      </c>
      <c r="O148" s="11"/>
      <c r="P148" s="2"/>
      <c r="Q148" s="2"/>
      <c r="R148" s="19">
        <f t="shared" si="24"/>
        <v>0</v>
      </c>
      <c r="S148" s="2"/>
      <c r="T148" s="2">
        <v>94</v>
      </c>
      <c r="U148" s="2"/>
      <c r="V148" s="19">
        <f t="shared" si="25"/>
        <v>1.4231091851484826E-5</v>
      </c>
      <c r="W148" s="2"/>
      <c r="X148" s="2">
        <f t="shared" si="26"/>
        <v>-94</v>
      </c>
      <c r="Y148" s="2"/>
      <c r="Z148" s="19">
        <f t="shared" si="27"/>
        <v>-1</v>
      </c>
    </row>
    <row r="149" spans="1:26" s="24" customFormat="1" hidden="1" outlineLevel="1" x14ac:dyDescent="0.3">
      <c r="A149" s="44"/>
      <c r="B149" s="11" t="str">
        <f>CONCATENATE("          ", "5583", " - ", "FREIGHT-IN-COMPUTER EQUIPMENT")</f>
        <v xml:space="preserve">          5583 - FREIGHT-IN-COMPUTER EQUIPMENT</v>
      </c>
      <c r="C149" s="11"/>
      <c r="D149" s="2"/>
      <c r="E149" s="2"/>
      <c r="F149" s="19">
        <f t="shared" si="20"/>
        <v>0</v>
      </c>
      <c r="G149" s="2"/>
      <c r="H149" s="2">
        <v>10.06</v>
      </c>
      <c r="I149" s="2"/>
      <c r="J149" s="19">
        <f t="shared" si="21"/>
        <v>6.879459660158112E-6</v>
      </c>
      <c r="K149" s="2"/>
      <c r="L149" s="2">
        <f t="shared" si="22"/>
        <v>-10.06</v>
      </c>
      <c r="M149" s="2"/>
      <c r="N149" s="19">
        <f t="shared" si="23"/>
        <v>-1</v>
      </c>
      <c r="O149" s="11"/>
      <c r="P149" s="2">
        <v>0</v>
      </c>
      <c r="Q149" s="2"/>
      <c r="R149" s="19">
        <f t="shared" si="24"/>
        <v>0</v>
      </c>
      <c r="S149" s="2"/>
      <c r="T149" s="2">
        <v>242.46</v>
      </c>
      <c r="U149" s="2"/>
      <c r="V149" s="19">
        <f t="shared" si="25"/>
        <v>3.6707133301180965E-5</v>
      </c>
      <c r="W149" s="2"/>
      <c r="X149" s="2">
        <f t="shared" si="26"/>
        <v>-242.46</v>
      </c>
      <c r="Y149" s="2"/>
      <c r="Z149" s="19">
        <f t="shared" si="27"/>
        <v>-1</v>
      </c>
    </row>
    <row r="150" spans="1:26" s="24" customFormat="1" hidden="1" outlineLevel="1" x14ac:dyDescent="0.3">
      <c r="A150" s="44"/>
      <c r="B150" s="11" t="str">
        <f>CONCATENATE("          ", "5586", " - ", "FREIGHT-IN-COMPUTER SUPPLIES")</f>
        <v xml:space="preserve">          5586 - FREIGHT-IN-COMPUTER SUPPLIES</v>
      </c>
      <c r="C150" s="11"/>
      <c r="D150" s="2"/>
      <c r="E150" s="2"/>
      <c r="F150" s="19">
        <f t="shared" si="20"/>
        <v>0</v>
      </c>
      <c r="G150" s="2"/>
      <c r="H150" s="2"/>
      <c r="I150" s="2"/>
      <c r="J150" s="19">
        <f t="shared" si="21"/>
        <v>0</v>
      </c>
      <c r="K150" s="2"/>
      <c r="L150" s="2">
        <f t="shared" si="22"/>
        <v>0</v>
      </c>
      <c r="M150" s="2"/>
      <c r="N150" s="19">
        <f t="shared" si="23"/>
        <v>0</v>
      </c>
      <c r="O150" s="11"/>
      <c r="P150" s="2"/>
      <c r="Q150" s="2"/>
      <c r="R150" s="19">
        <f t="shared" si="24"/>
        <v>0</v>
      </c>
      <c r="S150" s="2"/>
      <c r="T150" s="2">
        <v>24.12</v>
      </c>
      <c r="U150" s="2"/>
      <c r="V150" s="19">
        <f t="shared" si="25"/>
        <v>3.6516376112533404E-6</v>
      </c>
      <c r="W150" s="2"/>
      <c r="X150" s="2">
        <f t="shared" si="26"/>
        <v>-24.12</v>
      </c>
      <c r="Y150" s="2"/>
      <c r="Z150" s="19">
        <f t="shared" si="27"/>
        <v>-1</v>
      </c>
    </row>
    <row r="151" spans="1:26" s="24" customFormat="1" hidden="1" outlineLevel="1" x14ac:dyDescent="0.3">
      <c r="A151" s="44"/>
      <c r="B151" s="11" t="str">
        <f>CONCATENATE("          ", "5592", " - ", "FREIGHT-IN-GRAD MERCH")</f>
        <v xml:space="preserve">          5592 - FREIGHT-IN-GRAD MERCH</v>
      </c>
      <c r="C151" s="11"/>
      <c r="D151" s="2"/>
      <c r="E151" s="2"/>
      <c r="F151" s="19">
        <f t="shared" si="20"/>
        <v>0</v>
      </c>
      <c r="G151" s="2"/>
      <c r="H151" s="2"/>
      <c r="I151" s="2"/>
      <c r="J151" s="19">
        <f t="shared" si="21"/>
        <v>0</v>
      </c>
      <c r="K151" s="2"/>
      <c r="L151" s="2">
        <f t="shared" si="22"/>
        <v>0</v>
      </c>
      <c r="M151" s="2"/>
      <c r="N151" s="19">
        <f t="shared" si="23"/>
        <v>0</v>
      </c>
      <c r="O151" s="11"/>
      <c r="P151" s="2"/>
      <c r="Q151" s="2"/>
      <c r="R151" s="19">
        <f t="shared" si="24"/>
        <v>0</v>
      </c>
      <c r="S151" s="2"/>
      <c r="T151" s="2">
        <v>0</v>
      </c>
      <c r="U151" s="2"/>
      <c r="V151" s="19">
        <f t="shared" si="25"/>
        <v>0</v>
      </c>
      <c r="W151" s="2"/>
      <c r="X151" s="2">
        <f t="shared" si="26"/>
        <v>0</v>
      </c>
      <c r="Y151" s="2"/>
      <c r="Z151" s="19">
        <f t="shared" si="27"/>
        <v>0</v>
      </c>
    </row>
    <row r="152" spans="1:26" x14ac:dyDescent="0.3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3">
      <c r="A153" s="10"/>
      <c r="B153" s="25" t="s">
        <v>107</v>
      </c>
      <c r="C153" s="25"/>
      <c r="D153" s="21">
        <f>D12-D100</f>
        <v>888462.24000000022</v>
      </c>
      <c r="E153" s="13"/>
      <c r="F153" s="22">
        <f>IF(D$12=0,0,D153/D$12)</f>
        <v>0.56049818059983592</v>
      </c>
      <c r="G153" s="13"/>
      <c r="H153" s="21">
        <f>H12-H100</f>
        <v>547117.12000000023</v>
      </c>
      <c r="I153" s="13"/>
      <c r="J153" s="22">
        <f>IF(H$12=0,0,H153/H$12)</f>
        <v>0.37414216266619149</v>
      </c>
      <c r="K153" s="15"/>
      <c r="L153" s="21">
        <f>+D153-H153</f>
        <v>341345.12</v>
      </c>
      <c r="M153" s="15"/>
      <c r="N153" s="22">
        <f>IF(H153=0,0,L153/H153)</f>
        <v>0.62389771316240272</v>
      </c>
      <c r="O153" s="26"/>
      <c r="P153" s="21">
        <f>P12-P100</f>
        <v>7445396.6000000024</v>
      </c>
      <c r="Q153" s="13"/>
      <c r="R153" s="22">
        <f>IF(P$12=0,0,P153/P$12)</f>
        <v>0.57445842396960833</v>
      </c>
      <c r="S153" s="13"/>
      <c r="T153" s="21">
        <f>T12-T100</f>
        <v>2460607.359999998</v>
      </c>
      <c r="U153" s="13"/>
      <c r="V153" s="22">
        <f>IF(T$12=0,0,T153/T$12)</f>
        <v>0.37252265266595275</v>
      </c>
      <c r="W153" s="15"/>
      <c r="X153" s="21">
        <f>+P153-T153</f>
        <v>4984789.2400000039</v>
      </c>
      <c r="Y153" s="15"/>
      <c r="Z153" s="22">
        <f>IF(T153=0,0,X153/T153)</f>
        <v>2.0258369218240526</v>
      </c>
    </row>
    <row r="154" spans="1:26" x14ac:dyDescent="0.3">
      <c r="A154" s="9"/>
      <c r="B154" s="10"/>
      <c r="C154" s="9"/>
      <c r="D154" s="1"/>
      <c r="E154" s="1"/>
      <c r="F154" s="5"/>
      <c r="G154" s="1"/>
      <c r="H154" s="1"/>
      <c r="I154" s="1"/>
      <c r="J154" s="5"/>
      <c r="K154" s="1"/>
      <c r="L154" s="1"/>
      <c r="M154" s="1"/>
      <c r="N154" s="5"/>
      <c r="O154" s="37"/>
      <c r="P154" s="1"/>
      <c r="Q154" s="1"/>
      <c r="R154" s="5"/>
      <c r="S154" s="1"/>
      <c r="T154" s="1"/>
      <c r="U154" s="1"/>
      <c r="V154" s="5"/>
      <c r="W154" s="1"/>
      <c r="X154" s="1"/>
      <c r="Y154" s="1"/>
      <c r="Z154" s="5"/>
    </row>
    <row r="155" spans="1:26" s="23" customFormat="1" x14ac:dyDescent="0.3">
      <c r="A155" s="10"/>
      <c r="B155" s="26" t="s">
        <v>294</v>
      </c>
      <c r="C155" s="10"/>
      <c r="D155" s="20">
        <f>SUM(OSRRefD22x_0)</f>
        <v>950308.69000000029</v>
      </c>
      <c r="E155" s="20"/>
      <c r="F155" s="30">
        <f t="shared" ref="F155:F166" si="28">IF(D$12=0,0,D155/D$12)</f>
        <v>0.59951483335207745</v>
      </c>
      <c r="G155" s="20"/>
      <c r="H155" s="20">
        <f>SUM(OSRRefH22x_0)</f>
        <v>646417.85999999987</v>
      </c>
      <c r="I155" s="20"/>
      <c r="J155" s="30">
        <f t="shared" ref="J155:J166" si="29">IF(H$12=0,0,H155/H$12)</f>
        <v>0.44204826953039095</v>
      </c>
      <c r="K155" s="4"/>
      <c r="L155" s="20">
        <f t="shared" ref="L155:L166" si="30">+D155-H155</f>
        <v>303890.83000000042</v>
      </c>
      <c r="M155" s="4"/>
      <c r="N155" s="30">
        <f t="shared" ref="N155:N166" si="31">IF(H155=0,0,L155/H155)</f>
        <v>0.47011515121194281</v>
      </c>
      <c r="O155" s="10"/>
      <c r="P155" s="20">
        <f>SUM(OSRRefP22x_0)</f>
        <v>7052709.3100000005</v>
      </c>
      <c r="Q155" s="20"/>
      <c r="R155" s="30">
        <f t="shared" ref="R155:R166" si="32">IF(P$12=0,0,P155/P$12)</f>
        <v>0.54416016937746237</v>
      </c>
      <c r="S155" s="20"/>
      <c r="T155" s="20">
        <f>SUM(OSRRefT22x_0)</f>
        <v>4870085.5200000005</v>
      </c>
      <c r="U155" s="20"/>
      <c r="V155" s="30">
        <f t="shared" ref="V155:V166" si="33">IF(T$12=0,0,T155/T$12)</f>
        <v>0.7373046208479388</v>
      </c>
      <c r="W155" s="4"/>
      <c r="X155" s="20">
        <f t="shared" ref="X155:X166" si="34">+P155-T155</f>
        <v>2182623.79</v>
      </c>
      <c r="Y155" s="4"/>
      <c r="Z155" s="30">
        <f t="shared" ref="Z155:Z166" si="35">IF(T155=0,0,X155/T155)</f>
        <v>0.44816949949577062</v>
      </c>
    </row>
    <row r="156" spans="1:26" s="29" customFormat="1" outlineLevel="1" collapsed="1" x14ac:dyDescent="0.3">
      <c r="A156" s="28"/>
      <c r="B156" s="14" t="str">
        <f>CONCATENATE("     ","*Benefits                                         ")</f>
        <v xml:space="preserve">     *Benefits                                         </v>
      </c>
      <c r="C156" s="14"/>
      <c r="D156" s="1">
        <f>SUM(OSRRefD22_0x_0)</f>
        <v>199868.81000000003</v>
      </c>
      <c r="E156" s="1"/>
      <c r="F156" s="5">
        <f t="shared" si="28"/>
        <v>0.12608988803356941</v>
      </c>
      <c r="G156" s="1"/>
      <c r="H156" s="1">
        <f>SUM(OSRRefH22_0x_0)</f>
        <v>150871.77999999997</v>
      </c>
      <c r="I156" s="1"/>
      <c r="J156" s="5">
        <f t="shared" si="29"/>
        <v>0.10317259685549196</v>
      </c>
      <c r="K156" s="1"/>
      <c r="L156" s="1">
        <f t="shared" si="30"/>
        <v>48997.030000000057</v>
      </c>
      <c r="M156" s="1"/>
      <c r="N156" s="5">
        <f t="shared" si="31"/>
        <v>0.32475940828695776</v>
      </c>
      <c r="O156" s="14"/>
      <c r="P156" s="1">
        <f>SUM(OSRRefP22_0x_0)</f>
        <v>1227502.7</v>
      </c>
      <c r="Q156" s="1"/>
      <c r="R156" s="5">
        <f t="shared" si="32"/>
        <v>9.4709429778453799E-2</v>
      </c>
      <c r="S156" s="1"/>
      <c r="T156" s="1">
        <f>SUM(OSRRefT22_0x_0)</f>
        <v>1094703.47</v>
      </c>
      <c r="U156" s="1"/>
      <c r="V156" s="5">
        <f t="shared" si="33"/>
        <v>0.16573218757137406</v>
      </c>
      <c r="W156" s="1"/>
      <c r="X156" s="1">
        <f t="shared" si="34"/>
        <v>132799.22999999998</v>
      </c>
      <c r="Y156" s="1"/>
      <c r="Z156" s="5">
        <f t="shared" si="35"/>
        <v>0.12131068699362027</v>
      </c>
    </row>
    <row r="157" spans="1:26" s="24" customFormat="1" hidden="1" outlineLevel="2" x14ac:dyDescent="0.3">
      <c r="A157" s="27"/>
      <c r="B157" s="11" t="str">
        <f>CONCATENATE("          ", "6111", " - ", "F.I.C.A.")</f>
        <v xml:space="preserve">          6111 - F.I.C.A.</v>
      </c>
      <c r="C157" s="11"/>
      <c r="D157" s="7">
        <v>21845.47</v>
      </c>
      <c r="E157" s="2"/>
      <c r="F157" s="6">
        <f t="shared" si="28"/>
        <v>1.3781504309455283E-2</v>
      </c>
      <c r="G157" s="2"/>
      <c r="H157" s="7">
        <v>18515.07</v>
      </c>
      <c r="I157" s="2"/>
      <c r="J157" s="6">
        <f t="shared" si="29"/>
        <v>1.2661399321073921E-2</v>
      </c>
      <c r="K157" s="2"/>
      <c r="L157" s="7">
        <f t="shared" si="30"/>
        <v>3330.4000000000015</v>
      </c>
      <c r="M157" s="2"/>
      <c r="N157" s="6">
        <f t="shared" si="31"/>
        <v>0.1798750963404406</v>
      </c>
      <c r="O157" s="11"/>
      <c r="P157" s="7">
        <v>188194.4</v>
      </c>
      <c r="Q157" s="2"/>
      <c r="R157" s="6">
        <f t="shared" si="32"/>
        <v>1.4520362612235594E-2</v>
      </c>
      <c r="S157" s="2"/>
      <c r="T157" s="7">
        <v>152374.04</v>
      </c>
      <c r="U157" s="2"/>
      <c r="V157" s="6">
        <f t="shared" si="33"/>
        <v>2.3068605947040671E-2</v>
      </c>
      <c r="W157" s="2"/>
      <c r="X157" s="7">
        <f t="shared" si="34"/>
        <v>35820.359999999986</v>
      </c>
      <c r="Y157" s="2"/>
      <c r="Z157" s="6">
        <f t="shared" si="35"/>
        <v>0.23508177639708172</v>
      </c>
    </row>
    <row r="158" spans="1:26" s="24" customFormat="1" hidden="1" outlineLevel="2" x14ac:dyDescent="0.3">
      <c r="A158" s="27"/>
      <c r="B158" s="11" t="str">
        <f>CONCATENATE("          ", "6112", " - ", "COMPENSATION INSURANCE")</f>
        <v xml:space="preserve">          6112 - COMPENSATION INSURANCE</v>
      </c>
      <c r="C158" s="11"/>
      <c r="D158" s="7">
        <v>8823.32</v>
      </c>
      <c r="E158" s="2"/>
      <c r="F158" s="6">
        <f t="shared" si="28"/>
        <v>5.5663083743999545E-3</v>
      </c>
      <c r="G158" s="2"/>
      <c r="H158" s="7">
        <v>1923.58</v>
      </c>
      <c r="I158" s="2"/>
      <c r="J158" s="6">
        <f t="shared" si="29"/>
        <v>1.3154265420563557E-3</v>
      </c>
      <c r="K158" s="2"/>
      <c r="L158" s="7">
        <f t="shared" si="30"/>
        <v>6899.74</v>
      </c>
      <c r="M158" s="2"/>
      <c r="N158" s="6">
        <f t="shared" si="31"/>
        <v>3.5869264600380539</v>
      </c>
      <c r="O158" s="11"/>
      <c r="P158" s="7">
        <v>82997.149999999994</v>
      </c>
      <c r="Q158" s="2"/>
      <c r="R158" s="6">
        <f t="shared" si="32"/>
        <v>6.4037437552982943E-3</v>
      </c>
      <c r="S158" s="2"/>
      <c r="T158" s="7">
        <v>59153.78</v>
      </c>
      <c r="U158" s="2"/>
      <c r="V158" s="6">
        <f t="shared" si="33"/>
        <v>8.9555625164098509E-3</v>
      </c>
      <c r="W158" s="2"/>
      <c r="X158" s="7">
        <f t="shared" si="34"/>
        <v>23843.369999999995</v>
      </c>
      <c r="Y158" s="2"/>
      <c r="Z158" s="6">
        <f t="shared" si="35"/>
        <v>0.4030743259348768</v>
      </c>
    </row>
    <row r="159" spans="1:26" s="24" customFormat="1" hidden="1" outlineLevel="2" x14ac:dyDescent="0.3">
      <c r="A159" s="27"/>
      <c r="B159" s="11" t="str">
        <f>CONCATENATE("          ", "6113", " - ", "GROUP INSURANCE")</f>
        <v xml:space="preserve">          6113 - GROUP INSURANCE</v>
      </c>
      <c r="C159" s="11"/>
      <c r="D159" s="7">
        <v>74406.19</v>
      </c>
      <c r="E159" s="2"/>
      <c r="F159" s="6">
        <f t="shared" si="28"/>
        <v>4.6940131209589384E-2</v>
      </c>
      <c r="G159" s="2"/>
      <c r="H159" s="7">
        <v>77850.679999999993</v>
      </c>
      <c r="I159" s="2"/>
      <c r="J159" s="6">
        <f t="shared" si="29"/>
        <v>5.3237635444918274E-2</v>
      </c>
      <c r="K159" s="2"/>
      <c r="L159" s="7">
        <f t="shared" si="30"/>
        <v>-3444.4899999999907</v>
      </c>
      <c r="M159" s="2"/>
      <c r="N159" s="6">
        <f t="shared" si="31"/>
        <v>-4.4244828689999766E-2</v>
      </c>
      <c r="O159" s="11"/>
      <c r="P159" s="7">
        <v>525267.98</v>
      </c>
      <c r="Q159" s="2"/>
      <c r="R159" s="6">
        <f t="shared" si="32"/>
        <v>4.0527675309129887E-2</v>
      </c>
      <c r="S159" s="2"/>
      <c r="T159" s="7">
        <v>526457.66</v>
      </c>
      <c r="U159" s="2"/>
      <c r="V159" s="6">
        <f t="shared" si="33"/>
        <v>7.9702843780614568E-2</v>
      </c>
      <c r="W159" s="2"/>
      <c r="X159" s="7">
        <f t="shared" si="34"/>
        <v>-1189.6800000000512</v>
      </c>
      <c r="Y159" s="2"/>
      <c r="Z159" s="6">
        <f t="shared" si="35"/>
        <v>-2.2597828664893036E-3</v>
      </c>
    </row>
    <row r="160" spans="1:26" s="24" customFormat="1" hidden="1" outlineLevel="2" x14ac:dyDescent="0.3">
      <c r="A160" s="27"/>
      <c r="B160" s="11" t="str">
        <f>CONCATENATE("          ", "6114", " - ", "STATE UNEMPLOYMENT INSURANCE")</f>
        <v xml:space="preserve">          6114 - STATE UNEMPLOYMENT INSURANCE</v>
      </c>
      <c r="C160" s="11"/>
      <c r="D160" s="7">
        <v>948.38</v>
      </c>
      <c r="E160" s="2"/>
      <c r="F160" s="6">
        <f t="shared" si="28"/>
        <v>5.982980937009458E-4</v>
      </c>
      <c r="G160" s="2"/>
      <c r="H160" s="7">
        <v>1500.91</v>
      </c>
      <c r="I160" s="2"/>
      <c r="J160" s="6">
        <f t="shared" si="29"/>
        <v>1.0263866598934305E-3</v>
      </c>
      <c r="K160" s="2"/>
      <c r="L160" s="7">
        <f t="shared" si="30"/>
        <v>-552.53000000000009</v>
      </c>
      <c r="M160" s="2"/>
      <c r="N160" s="6">
        <f t="shared" si="31"/>
        <v>-0.36813000113264621</v>
      </c>
      <c r="O160" s="11"/>
      <c r="P160" s="7">
        <v>8368.39</v>
      </c>
      <c r="Q160" s="2"/>
      <c r="R160" s="6">
        <f t="shared" si="32"/>
        <v>6.4567307677915078E-4</v>
      </c>
      <c r="S160" s="2"/>
      <c r="T160" s="7">
        <v>6066.75</v>
      </c>
      <c r="U160" s="2"/>
      <c r="V160" s="6">
        <f t="shared" si="33"/>
        <v>9.1847315414888902E-4</v>
      </c>
      <c r="W160" s="2"/>
      <c r="X160" s="7">
        <f t="shared" si="34"/>
        <v>2301.6399999999994</v>
      </c>
      <c r="Y160" s="2"/>
      <c r="Z160" s="6">
        <f t="shared" si="35"/>
        <v>0.37938599744508994</v>
      </c>
    </row>
    <row r="161" spans="1:26" s="24" customFormat="1" hidden="1" outlineLevel="2" x14ac:dyDescent="0.3">
      <c r="A161" s="27"/>
      <c r="B161" s="11" t="str">
        <f>CONCATENATE("          ", "6115", " - ", "P.E.R.S.")</f>
        <v xml:space="preserve">          6115 - P.E.R.S.</v>
      </c>
      <c r="C161" s="11"/>
      <c r="D161" s="7">
        <v>14271.85</v>
      </c>
      <c r="E161" s="2"/>
      <c r="F161" s="6">
        <f t="shared" si="28"/>
        <v>9.0035857447287419E-3</v>
      </c>
      <c r="G161" s="2"/>
      <c r="H161" s="7">
        <v>19996.61</v>
      </c>
      <c r="I161" s="2"/>
      <c r="J161" s="6">
        <f t="shared" si="29"/>
        <v>1.3674539943828459E-2</v>
      </c>
      <c r="K161" s="2"/>
      <c r="L161" s="7">
        <f t="shared" si="30"/>
        <v>-5724.76</v>
      </c>
      <c r="M161" s="2"/>
      <c r="N161" s="6">
        <f t="shared" si="31"/>
        <v>-0.28628652556608347</v>
      </c>
      <c r="O161" s="11"/>
      <c r="P161" s="7">
        <v>107856.34</v>
      </c>
      <c r="Q161" s="2"/>
      <c r="R161" s="6">
        <f t="shared" si="32"/>
        <v>8.3217841063738893E-3</v>
      </c>
      <c r="S161" s="2"/>
      <c r="T161" s="7">
        <v>115421.24</v>
      </c>
      <c r="U161" s="2"/>
      <c r="V161" s="6">
        <f t="shared" si="33"/>
        <v>1.7474151787790153E-2</v>
      </c>
      <c r="W161" s="2"/>
      <c r="X161" s="7">
        <f t="shared" si="34"/>
        <v>-7564.9000000000087</v>
      </c>
      <c r="Y161" s="2"/>
      <c r="Z161" s="6">
        <f t="shared" si="35"/>
        <v>-6.5541662868983289E-2</v>
      </c>
    </row>
    <row r="162" spans="1:26" s="24" customFormat="1" hidden="1" outlineLevel="2" x14ac:dyDescent="0.3">
      <c r="A162" s="27"/>
      <c r="B162" s="11" t="str">
        <f>CONCATENATE("          ", "6116", " - ", "EDUCATIONAL BENEFITS")</f>
        <v xml:space="preserve">          6116 - EDUCATIONAL BENEFITS</v>
      </c>
      <c r="C162" s="11"/>
      <c r="D162" s="7"/>
      <c r="E162" s="2"/>
      <c r="F162" s="6">
        <f t="shared" si="28"/>
        <v>0</v>
      </c>
      <c r="G162" s="2"/>
      <c r="H162" s="7"/>
      <c r="I162" s="2"/>
      <c r="J162" s="6">
        <f t="shared" si="29"/>
        <v>0</v>
      </c>
      <c r="K162" s="2"/>
      <c r="L162" s="7">
        <f t="shared" si="30"/>
        <v>0</v>
      </c>
      <c r="M162" s="2"/>
      <c r="N162" s="6">
        <f t="shared" si="31"/>
        <v>0</v>
      </c>
      <c r="O162" s="11"/>
      <c r="P162" s="7"/>
      <c r="Q162" s="2"/>
      <c r="R162" s="6">
        <f t="shared" si="32"/>
        <v>0</v>
      </c>
      <c r="S162" s="2"/>
      <c r="T162" s="7">
        <v>0</v>
      </c>
      <c r="U162" s="2"/>
      <c r="V162" s="6">
        <f t="shared" si="33"/>
        <v>0</v>
      </c>
      <c r="W162" s="2"/>
      <c r="X162" s="7">
        <f t="shared" si="34"/>
        <v>0</v>
      </c>
      <c r="Y162" s="2"/>
      <c r="Z162" s="6">
        <f t="shared" si="35"/>
        <v>0</v>
      </c>
    </row>
    <row r="163" spans="1:26" s="24" customFormat="1" hidden="1" outlineLevel="2" x14ac:dyDescent="0.3">
      <c r="A163" s="27"/>
      <c r="B163" s="11" t="str">
        <f>CONCATENATE("          ", "6117", " - ", "RETIREMENT STAFF HOURLY")</f>
        <v xml:space="preserve">          6117 - RETIREMENT STAFF HOURLY</v>
      </c>
      <c r="C163" s="11"/>
      <c r="D163" s="7">
        <v>3401.49</v>
      </c>
      <c r="E163" s="2"/>
      <c r="F163" s="6">
        <f t="shared" si="28"/>
        <v>2.1458750529775301E-3</v>
      </c>
      <c r="G163" s="2"/>
      <c r="H163" s="7">
        <v>2208.6799999999998</v>
      </c>
      <c r="I163" s="2"/>
      <c r="J163" s="6">
        <f t="shared" si="29"/>
        <v>1.5103901552880731E-3</v>
      </c>
      <c r="K163" s="2"/>
      <c r="L163" s="7">
        <f t="shared" si="30"/>
        <v>1192.81</v>
      </c>
      <c r="M163" s="2"/>
      <c r="N163" s="6">
        <f t="shared" si="31"/>
        <v>0.54005559881920429</v>
      </c>
      <c r="O163" s="11"/>
      <c r="P163" s="7">
        <v>16837.939999999999</v>
      </c>
      <c r="Q163" s="2"/>
      <c r="R163" s="6">
        <f t="shared" si="32"/>
        <v>1.2991512735929772E-3</v>
      </c>
      <c r="S163" s="2"/>
      <c r="T163" s="7">
        <v>14605.25</v>
      </c>
      <c r="U163" s="2"/>
      <c r="V163" s="6">
        <f t="shared" si="33"/>
        <v>2.2111558964244549E-3</v>
      </c>
      <c r="W163" s="2"/>
      <c r="X163" s="7">
        <f t="shared" si="34"/>
        <v>2232.6899999999987</v>
      </c>
      <c r="Y163" s="2"/>
      <c r="Z163" s="6">
        <f t="shared" si="35"/>
        <v>0.15286900258468691</v>
      </c>
    </row>
    <row r="164" spans="1:26" s="24" customFormat="1" hidden="1" outlineLevel="2" x14ac:dyDescent="0.3">
      <c r="A164" s="27"/>
      <c r="B164" s="11" t="str">
        <f>CONCATENATE("          ", "6118", " - ", "VACATION")</f>
        <v xml:space="preserve">          6118 - VACATION</v>
      </c>
      <c r="C164" s="11"/>
      <c r="D164" s="7">
        <v>30449.35</v>
      </c>
      <c r="E164" s="2"/>
      <c r="F164" s="6">
        <f t="shared" si="28"/>
        <v>1.920937605119561E-2</v>
      </c>
      <c r="G164" s="2"/>
      <c r="H164" s="7">
        <v>15535.69</v>
      </c>
      <c r="I164" s="2"/>
      <c r="J164" s="6">
        <f t="shared" si="29"/>
        <v>1.0623971436155245E-2</v>
      </c>
      <c r="K164" s="2"/>
      <c r="L164" s="7">
        <f t="shared" si="30"/>
        <v>14913.659999999998</v>
      </c>
      <c r="M164" s="2"/>
      <c r="N164" s="6">
        <f t="shared" si="31"/>
        <v>0.95996122476697188</v>
      </c>
      <c r="O164" s="11"/>
      <c r="P164" s="7">
        <v>132882.51</v>
      </c>
      <c r="Q164" s="2"/>
      <c r="R164" s="6">
        <f t="shared" si="32"/>
        <v>1.0252707997815146E-2</v>
      </c>
      <c r="S164" s="2"/>
      <c r="T164" s="7">
        <v>112430.91</v>
      </c>
      <c r="U164" s="2"/>
      <c r="V164" s="6">
        <f t="shared" si="33"/>
        <v>1.7021431991021529E-2</v>
      </c>
      <c r="W164" s="2"/>
      <c r="X164" s="7">
        <f t="shared" si="34"/>
        <v>20451.600000000006</v>
      </c>
      <c r="Y164" s="2"/>
      <c r="Z164" s="6">
        <f t="shared" si="35"/>
        <v>0.18190371313369255</v>
      </c>
    </row>
    <row r="165" spans="1:26" s="24" customFormat="1" hidden="1" outlineLevel="2" x14ac:dyDescent="0.3">
      <c r="A165" s="27"/>
      <c r="B165" s="11" t="str">
        <f>CONCATENATE("          ", "6119", " - ", "SICK LEAVE")</f>
        <v xml:space="preserve">          6119 - SICK LEAVE</v>
      </c>
      <c r="C165" s="11"/>
      <c r="D165" s="7">
        <v>38353.67</v>
      </c>
      <c r="E165" s="2"/>
      <c r="F165" s="6">
        <f t="shared" si="28"/>
        <v>2.4195921094324169E-2</v>
      </c>
      <c r="G165" s="2"/>
      <c r="H165" s="7">
        <v>10100.69</v>
      </c>
      <c r="I165" s="2"/>
      <c r="J165" s="6">
        <f t="shared" si="29"/>
        <v>6.9072852281075979E-3</v>
      </c>
      <c r="K165" s="2"/>
      <c r="L165" s="7">
        <f t="shared" si="30"/>
        <v>28252.979999999996</v>
      </c>
      <c r="M165" s="2"/>
      <c r="N165" s="6">
        <f t="shared" si="31"/>
        <v>2.7971336611657218</v>
      </c>
      <c r="O165" s="11"/>
      <c r="P165" s="7">
        <v>111326.59</v>
      </c>
      <c r="Q165" s="2"/>
      <c r="R165" s="6">
        <f t="shared" si="32"/>
        <v>8.5895353697223766E-3</v>
      </c>
      <c r="S165" s="2"/>
      <c r="T165" s="7">
        <v>75582.259999999995</v>
      </c>
      <c r="U165" s="2"/>
      <c r="V165" s="6">
        <f t="shared" si="33"/>
        <v>1.144274557875327E-2</v>
      </c>
      <c r="W165" s="2"/>
      <c r="X165" s="7">
        <f t="shared" si="34"/>
        <v>35744.33</v>
      </c>
      <c r="Y165" s="2"/>
      <c r="Z165" s="6">
        <f t="shared" si="35"/>
        <v>0.47291957133856549</v>
      </c>
    </row>
    <row r="166" spans="1:26" s="24" customFormat="1" hidden="1" outlineLevel="2" x14ac:dyDescent="0.3">
      <c r="A166" s="27"/>
      <c r="B166" s="11" t="str">
        <f>CONCATENATE("          ", "6156", " - ", "EMPLOYEE MEALS")</f>
        <v xml:space="preserve">          6156 - EMPLOYEE MEALS</v>
      </c>
      <c r="C166" s="11"/>
      <c r="D166" s="7">
        <v>7369.09</v>
      </c>
      <c r="E166" s="2"/>
      <c r="F166" s="6">
        <f t="shared" si="28"/>
        <v>4.6488881031977718E-3</v>
      </c>
      <c r="G166" s="2"/>
      <c r="H166" s="7">
        <v>3239.87</v>
      </c>
      <c r="I166" s="2"/>
      <c r="J166" s="6">
        <f t="shared" si="29"/>
        <v>2.215562124170622E-3</v>
      </c>
      <c r="K166" s="2"/>
      <c r="L166" s="7">
        <f t="shared" si="30"/>
        <v>4129.22</v>
      </c>
      <c r="M166" s="2"/>
      <c r="N166" s="6">
        <f t="shared" si="31"/>
        <v>1.2745017547000344</v>
      </c>
      <c r="O166" s="11"/>
      <c r="P166" s="7">
        <v>53771.4</v>
      </c>
      <c r="Q166" s="2"/>
      <c r="R166" s="6">
        <f t="shared" si="32"/>
        <v>4.1487962775064776E-3</v>
      </c>
      <c r="S166" s="2"/>
      <c r="T166" s="7">
        <v>32611.58</v>
      </c>
      <c r="U166" s="2"/>
      <c r="V166" s="6">
        <f t="shared" si="33"/>
        <v>4.9372169191706974E-3</v>
      </c>
      <c r="W166" s="2"/>
      <c r="X166" s="7">
        <f t="shared" si="34"/>
        <v>21159.82</v>
      </c>
      <c r="Y166" s="2"/>
      <c r="Z166" s="6">
        <f t="shared" si="35"/>
        <v>0.6488437542737886</v>
      </c>
    </row>
    <row r="167" spans="1:26" s="29" customFormat="1" outlineLevel="1" collapsed="1" x14ac:dyDescent="0.3">
      <c r="A167" s="28"/>
      <c r="B167" s="14" t="str">
        <f>CONCATENATE("     ","*Payroll                                          ")</f>
        <v xml:space="preserve">     *Payroll                                          </v>
      </c>
      <c r="C167" s="14"/>
      <c r="D167" s="1">
        <f>SUM(OSRRefD22_1x_0)</f>
        <v>467724.28</v>
      </c>
      <c r="E167" s="1"/>
      <c r="F167" s="5">
        <f t="shared" ref="F167:F174" si="36">IF(D$12=0,0,D167/D$12)</f>
        <v>0.29507006168587213</v>
      </c>
      <c r="G167" s="1"/>
      <c r="H167" s="1">
        <f>SUM(OSRRefH22_1x_0)</f>
        <v>328486.05</v>
      </c>
      <c r="I167" s="1"/>
      <c r="J167" s="5">
        <f t="shared" ref="J167:J174" si="37">IF(H$12=0,0,H167/H$12)</f>
        <v>0.224632855854839</v>
      </c>
      <c r="K167" s="1"/>
      <c r="L167" s="1">
        <f t="shared" ref="L167:L174" si="38">+D167-H167</f>
        <v>139238.23000000004</v>
      </c>
      <c r="M167" s="1"/>
      <c r="N167" s="5">
        <f t="shared" ref="N167:N174" si="39">IF(H167=0,0,L167/H167)</f>
        <v>0.42387867003789065</v>
      </c>
      <c r="O167" s="14"/>
      <c r="P167" s="1">
        <f>SUM(OSRRefP22_1x_0)</f>
        <v>3322940.7300000009</v>
      </c>
      <c r="Q167" s="1"/>
      <c r="R167" s="5">
        <f t="shared" ref="R167:R174" si="40">IF(P$12=0,0,P167/P$12)</f>
        <v>0.25638544153581011</v>
      </c>
      <c r="S167" s="1"/>
      <c r="T167" s="1">
        <f>SUM(OSRRefT22_1x_0)</f>
        <v>2052760.11</v>
      </c>
      <c r="U167" s="1"/>
      <c r="V167" s="5">
        <f t="shared" ref="V167:V174" si="41">IF(T$12=0,0,T167/T$12)</f>
        <v>0.31077678377100104</v>
      </c>
      <c r="W167" s="1"/>
      <c r="X167" s="1">
        <f t="shared" ref="X167:X174" si="42">+P167-T167</f>
        <v>1270180.6200000008</v>
      </c>
      <c r="Y167" s="1"/>
      <c r="Z167" s="5">
        <f t="shared" ref="Z167:Z174" si="43">IF(T167=0,0,X167/T167)</f>
        <v>0.6187671973029526</v>
      </c>
    </row>
    <row r="168" spans="1:26" s="24" customFormat="1" hidden="1" outlineLevel="2" x14ac:dyDescent="0.3">
      <c r="A168" s="27"/>
      <c r="B168" s="11" t="str">
        <f>CONCATENATE("          ", "6001", " - ", "ADMINISTRATIVE SALARIES")</f>
        <v xml:space="preserve">          6001 - ADMINISTRATIVE SALARIES</v>
      </c>
      <c r="C168" s="11"/>
      <c r="D168" s="7">
        <v>34887.26</v>
      </c>
      <c r="E168" s="2"/>
      <c r="F168" s="6">
        <f t="shared" si="36"/>
        <v>2.200909039883724E-2</v>
      </c>
      <c r="G168" s="2"/>
      <c r="H168" s="7">
        <v>35328.300000000003</v>
      </c>
      <c r="I168" s="2"/>
      <c r="J168" s="6">
        <f t="shared" si="37"/>
        <v>2.4159007426636563E-2</v>
      </c>
      <c r="K168" s="2"/>
      <c r="L168" s="7">
        <f t="shared" si="38"/>
        <v>-441.04000000000087</v>
      </c>
      <c r="M168" s="2"/>
      <c r="N168" s="6">
        <f t="shared" si="39"/>
        <v>-1.2484042538135173E-2</v>
      </c>
      <c r="O168" s="11"/>
      <c r="P168" s="7">
        <v>211172.79</v>
      </c>
      <c r="Q168" s="2"/>
      <c r="R168" s="6">
        <f t="shared" si="40"/>
        <v>1.6293287603868545E-2</v>
      </c>
      <c r="S168" s="2"/>
      <c r="T168" s="7">
        <v>201855.35999999999</v>
      </c>
      <c r="U168" s="2"/>
      <c r="V168" s="6">
        <f t="shared" si="41"/>
        <v>3.0559810307175913E-2</v>
      </c>
      <c r="W168" s="2"/>
      <c r="X168" s="7">
        <f t="shared" si="42"/>
        <v>9317.4300000000221</v>
      </c>
      <c r="Y168" s="2"/>
      <c r="Z168" s="6">
        <f t="shared" si="43"/>
        <v>4.615894272017361E-2</v>
      </c>
    </row>
    <row r="169" spans="1:26" s="24" customFormat="1" hidden="1" outlineLevel="2" x14ac:dyDescent="0.3">
      <c r="A169" s="27"/>
      <c r="B169" s="11" t="str">
        <f>CONCATENATE("          ", "6002", " - ", "STAFF SALARIES")</f>
        <v xml:space="preserve">          6002 - STAFF SALARIES</v>
      </c>
      <c r="C169" s="11"/>
      <c r="D169" s="7">
        <v>136476.37</v>
      </c>
      <c r="E169" s="2"/>
      <c r="F169" s="6">
        <f t="shared" si="36"/>
        <v>8.6097926997854179E-2</v>
      </c>
      <c r="G169" s="2"/>
      <c r="H169" s="7">
        <v>131650.63</v>
      </c>
      <c r="I169" s="2"/>
      <c r="J169" s="6">
        <f t="shared" si="37"/>
        <v>9.002834973353889E-2</v>
      </c>
      <c r="K169" s="2"/>
      <c r="L169" s="7">
        <f t="shared" si="38"/>
        <v>4825.7399999999907</v>
      </c>
      <c r="M169" s="2"/>
      <c r="N169" s="6">
        <f t="shared" si="39"/>
        <v>3.6655654439329236E-2</v>
      </c>
      <c r="O169" s="11"/>
      <c r="P169" s="7">
        <v>860918.76</v>
      </c>
      <c r="Q169" s="2"/>
      <c r="R169" s="6">
        <f t="shared" si="40"/>
        <v>6.6425210180941774E-2</v>
      </c>
      <c r="S169" s="2"/>
      <c r="T169" s="7">
        <v>796801.14</v>
      </c>
      <c r="U169" s="2"/>
      <c r="V169" s="6">
        <f t="shared" si="41"/>
        <v>0.12063138522029596</v>
      </c>
      <c r="W169" s="2"/>
      <c r="X169" s="7">
        <f t="shared" si="42"/>
        <v>64117.619999999995</v>
      </c>
      <c r="Y169" s="2"/>
      <c r="Z169" s="6">
        <f t="shared" si="43"/>
        <v>8.0468785473876203E-2</v>
      </c>
    </row>
    <row r="170" spans="1:26" s="24" customFormat="1" hidden="1" outlineLevel="2" x14ac:dyDescent="0.3">
      <c r="A170" s="27"/>
      <c r="B170" s="11" t="str">
        <f>CONCATENATE("          ", "6004", " - ", "STAFF HOURLY")</f>
        <v xml:space="preserve">          6004 - STAFF HOURLY</v>
      </c>
      <c r="C170" s="11"/>
      <c r="D170" s="7">
        <v>90435.46</v>
      </c>
      <c r="E170" s="2"/>
      <c r="F170" s="6">
        <f t="shared" si="36"/>
        <v>5.7052408655779478E-2</v>
      </c>
      <c r="G170" s="2"/>
      <c r="H170" s="7">
        <v>60870.11</v>
      </c>
      <c r="I170" s="2"/>
      <c r="J170" s="6">
        <f t="shared" si="37"/>
        <v>4.1625593067036469E-2</v>
      </c>
      <c r="K170" s="2"/>
      <c r="L170" s="7">
        <f t="shared" si="38"/>
        <v>29565.350000000006</v>
      </c>
      <c r="M170" s="2"/>
      <c r="N170" s="6">
        <f t="shared" si="39"/>
        <v>0.48571211716226576</v>
      </c>
      <c r="O170" s="11"/>
      <c r="P170" s="7">
        <v>769644.19</v>
      </c>
      <c r="Q170" s="2"/>
      <c r="R170" s="6">
        <f t="shared" si="40"/>
        <v>5.9382812247337581E-2</v>
      </c>
      <c r="S170" s="2"/>
      <c r="T170" s="7">
        <v>469084.57</v>
      </c>
      <c r="U170" s="2"/>
      <c r="V170" s="6">
        <f t="shared" si="41"/>
        <v>7.1016868104087916E-2</v>
      </c>
      <c r="W170" s="2"/>
      <c r="X170" s="7">
        <f t="shared" si="42"/>
        <v>300559.61999999994</v>
      </c>
      <c r="Y170" s="2"/>
      <c r="Z170" s="6">
        <f t="shared" si="43"/>
        <v>0.64073653072835013</v>
      </c>
    </row>
    <row r="171" spans="1:26" s="24" customFormat="1" hidden="1" outlineLevel="2" x14ac:dyDescent="0.3">
      <c r="A171" s="27"/>
      <c r="B171" s="11" t="str">
        <f>CONCATENATE("          ", "6005", " - ", "TEMPORARY WAGES-HOURLY")</f>
        <v xml:space="preserve">          6005 - TEMPORARY WAGES-HOURLY</v>
      </c>
      <c r="C171" s="11"/>
      <c r="D171" s="7">
        <v>33564.910000000003</v>
      </c>
      <c r="E171" s="2"/>
      <c r="F171" s="6">
        <f t="shared" si="36"/>
        <v>2.1174868373693895E-2</v>
      </c>
      <c r="G171" s="2"/>
      <c r="H171" s="7">
        <v>27127.15</v>
      </c>
      <c r="I171" s="2"/>
      <c r="J171" s="6">
        <f t="shared" si="37"/>
        <v>1.855070915706343E-2</v>
      </c>
      <c r="K171" s="2"/>
      <c r="L171" s="7">
        <f t="shared" si="38"/>
        <v>6437.760000000002</v>
      </c>
      <c r="M171" s="2"/>
      <c r="N171" s="6">
        <f t="shared" si="39"/>
        <v>0.23731796373743655</v>
      </c>
      <c r="O171" s="11"/>
      <c r="P171" s="7">
        <v>454954.25</v>
      </c>
      <c r="Q171" s="2"/>
      <c r="R171" s="6">
        <f t="shared" si="40"/>
        <v>3.5102535898930497E-2</v>
      </c>
      <c r="S171" s="2"/>
      <c r="T171" s="7">
        <v>230969.15</v>
      </c>
      <c r="U171" s="2"/>
      <c r="V171" s="6">
        <f t="shared" si="41"/>
        <v>3.496748072882315E-2</v>
      </c>
      <c r="W171" s="2"/>
      <c r="X171" s="7">
        <f t="shared" si="42"/>
        <v>223985.1</v>
      </c>
      <c r="Y171" s="2"/>
      <c r="Z171" s="6">
        <f t="shared" si="43"/>
        <v>0.9697619790348625</v>
      </c>
    </row>
    <row r="172" spans="1:26" s="24" customFormat="1" hidden="1" outlineLevel="2" x14ac:dyDescent="0.3">
      <c r="A172" s="27"/>
      <c r="B172" s="11" t="str">
        <f>CONCATENATE("          ", "6006", " - ", "TEMPORARY PART TIME")</f>
        <v xml:space="preserve">          6006 - TEMPORARY PART TIME</v>
      </c>
      <c r="C172" s="11"/>
      <c r="D172" s="7">
        <v>2092.35</v>
      </c>
      <c r="E172" s="2"/>
      <c r="F172" s="6">
        <f t="shared" si="36"/>
        <v>1.3199867314316772E-3</v>
      </c>
      <c r="G172" s="2"/>
      <c r="H172" s="7"/>
      <c r="I172" s="2"/>
      <c r="J172" s="6">
        <f t="shared" si="37"/>
        <v>0</v>
      </c>
      <c r="K172" s="2"/>
      <c r="L172" s="7">
        <f t="shared" si="38"/>
        <v>2092.35</v>
      </c>
      <c r="M172" s="2"/>
      <c r="N172" s="6">
        <f t="shared" si="39"/>
        <v>0</v>
      </c>
      <c r="O172" s="11"/>
      <c r="P172" s="7">
        <v>11969.97</v>
      </c>
      <c r="Q172" s="2"/>
      <c r="R172" s="6">
        <f t="shared" si="40"/>
        <v>9.2355726237115289E-4</v>
      </c>
      <c r="S172" s="2"/>
      <c r="T172" s="7">
        <v>9987.9599999999991</v>
      </c>
      <c r="U172" s="2"/>
      <c r="V172" s="6">
        <f t="shared" si="41"/>
        <v>1.5121231507335784E-3</v>
      </c>
      <c r="W172" s="2"/>
      <c r="X172" s="7">
        <f t="shared" si="42"/>
        <v>1982.0100000000002</v>
      </c>
      <c r="Y172" s="2"/>
      <c r="Z172" s="6">
        <f t="shared" si="43"/>
        <v>0.19843992166568553</v>
      </c>
    </row>
    <row r="173" spans="1:26" s="24" customFormat="1" hidden="1" outlineLevel="2" x14ac:dyDescent="0.3">
      <c r="A173" s="27"/>
      <c r="B173" s="11" t="str">
        <f>CONCATENATE("          ", "6007", " - ", "STUDENT HOURLY")</f>
        <v xml:space="preserve">          6007 - STUDENT HOURLY</v>
      </c>
      <c r="C173" s="11"/>
      <c r="D173" s="7">
        <v>155867.66</v>
      </c>
      <c r="E173" s="2"/>
      <c r="F173" s="6">
        <f t="shared" si="36"/>
        <v>9.8331179324350121E-2</v>
      </c>
      <c r="G173" s="2"/>
      <c r="H173" s="7">
        <v>71674.179999999993</v>
      </c>
      <c r="I173" s="2"/>
      <c r="J173" s="6">
        <f t="shared" si="37"/>
        <v>4.9013879720170107E-2</v>
      </c>
      <c r="K173" s="2"/>
      <c r="L173" s="7">
        <f t="shared" si="38"/>
        <v>84193.48000000001</v>
      </c>
      <c r="M173" s="2"/>
      <c r="N173" s="6">
        <f t="shared" si="39"/>
        <v>1.1746695951038437</v>
      </c>
      <c r="O173" s="11"/>
      <c r="P173" s="7">
        <v>860878.3</v>
      </c>
      <c r="Q173" s="2"/>
      <c r="R173" s="6">
        <f t="shared" si="40"/>
        <v>6.642208844155266E-2</v>
      </c>
      <c r="S173" s="2"/>
      <c r="T173" s="7">
        <v>323892.36</v>
      </c>
      <c r="U173" s="2"/>
      <c r="V173" s="6">
        <f t="shared" si="41"/>
        <v>4.9035552395257337E-2</v>
      </c>
      <c r="W173" s="2"/>
      <c r="X173" s="7">
        <f t="shared" si="42"/>
        <v>536985.94000000006</v>
      </c>
      <c r="Y173" s="2"/>
      <c r="Z173" s="6">
        <f t="shared" si="43"/>
        <v>1.6579148084876101</v>
      </c>
    </row>
    <row r="174" spans="1:26" s="24" customFormat="1" hidden="1" outlineLevel="2" x14ac:dyDescent="0.3">
      <c r="A174" s="27"/>
      <c r="B174" s="11" t="str">
        <f>CONCATENATE("          ", "6008", " - ", "STUDENT HOURLY-FICA EXEMPT")</f>
        <v xml:space="preserve">          6008 - STUDENT HOURLY-FICA EXEMPT</v>
      </c>
      <c r="C174" s="11"/>
      <c r="D174" s="7">
        <v>14400.27</v>
      </c>
      <c r="E174" s="2"/>
      <c r="F174" s="6">
        <f t="shared" si="36"/>
        <v>9.0846012039255564E-3</v>
      </c>
      <c r="G174" s="2"/>
      <c r="H174" s="7">
        <v>1835.68</v>
      </c>
      <c r="I174" s="2"/>
      <c r="J174" s="6">
        <f t="shared" si="37"/>
        <v>1.2553167503935429E-3</v>
      </c>
      <c r="K174" s="2"/>
      <c r="L174" s="7">
        <f t="shared" si="38"/>
        <v>12564.59</v>
      </c>
      <c r="M174" s="2"/>
      <c r="N174" s="6">
        <f t="shared" si="39"/>
        <v>6.8446515732589557</v>
      </c>
      <c r="O174" s="11"/>
      <c r="P174" s="7">
        <v>153402.47</v>
      </c>
      <c r="Q174" s="2"/>
      <c r="R174" s="6">
        <f t="shared" si="40"/>
        <v>1.1835949900807849E-2</v>
      </c>
      <c r="S174" s="2"/>
      <c r="T174" s="7">
        <v>20169.57</v>
      </c>
      <c r="U174" s="2"/>
      <c r="V174" s="6">
        <f t="shared" si="41"/>
        <v>3.0535638646271572E-3</v>
      </c>
      <c r="W174" s="2"/>
      <c r="X174" s="7">
        <f t="shared" si="42"/>
        <v>133232.9</v>
      </c>
      <c r="Y174" s="2"/>
      <c r="Z174" s="6">
        <f t="shared" si="43"/>
        <v>6.6056390889840486</v>
      </c>
    </row>
    <row r="175" spans="1:26" s="29" customFormat="1" outlineLevel="1" collapsed="1" x14ac:dyDescent="0.3">
      <c r="A175" s="28"/>
      <c r="B175" s="14" t="str">
        <f>CONCATENATE("     ","Advertising/Promo                                 ")</f>
        <v xml:space="preserve">     Advertising/Promo                                 </v>
      </c>
      <c r="C175" s="14"/>
      <c r="D175" s="1">
        <f>SUM(OSRRefD22_2x_0)</f>
        <v>1236.4100000000001</v>
      </c>
      <c r="E175" s="1"/>
      <c r="F175" s="5">
        <f t="shared" ref="F175:F179" si="44">IF(D$12=0,0,D175/D$12)</f>
        <v>7.8000563701552806E-4</v>
      </c>
      <c r="G175" s="1"/>
      <c r="H175" s="1">
        <f>SUM(OSRRefH22_2x_0)</f>
        <v>1703.25</v>
      </c>
      <c r="I175" s="1"/>
      <c r="J175" s="5">
        <f t="shared" ref="J175:J179" si="45">IF(H$12=0,0,H175/H$12)</f>
        <v>1.1647554340123562E-3</v>
      </c>
      <c r="K175" s="1"/>
      <c r="L175" s="1">
        <f t="shared" ref="L175:L179" si="46">+D175-H175</f>
        <v>-466.83999999999992</v>
      </c>
      <c r="M175" s="1"/>
      <c r="N175" s="5">
        <f t="shared" ref="N175:N179" si="47">IF(H175=0,0,L175/H175)</f>
        <v>-0.27408777337443119</v>
      </c>
      <c r="O175" s="14"/>
      <c r="P175" s="1">
        <f>SUM(OSRRefP22_2x_0)</f>
        <v>11224.07</v>
      </c>
      <c r="Q175" s="1"/>
      <c r="R175" s="5">
        <f t="shared" ref="R175:R179" si="48">IF(P$12=0,0,P175/P$12)</f>
        <v>8.6600646132464711E-4</v>
      </c>
      <c r="S175" s="1"/>
      <c r="T175" s="1">
        <f>SUM(OSRRefT22_2x_0)</f>
        <v>18217.59</v>
      </c>
      <c r="U175" s="1"/>
      <c r="V175" s="5">
        <f t="shared" ref="V175:V179" si="49">IF(T$12=0,0,T175/T$12)</f>
        <v>2.7580446447094836E-3</v>
      </c>
      <c r="W175" s="1"/>
      <c r="X175" s="1">
        <f t="shared" ref="X175:X179" si="50">+P175-T175</f>
        <v>-6993.52</v>
      </c>
      <c r="Y175" s="1"/>
      <c r="Z175" s="5">
        <f t="shared" ref="Z175:Z179" si="51">IF(T175=0,0,X175/T175)</f>
        <v>-0.38388831892692726</v>
      </c>
    </row>
    <row r="176" spans="1:26" s="24" customFormat="1" hidden="1" outlineLevel="2" x14ac:dyDescent="0.3">
      <c r="A176" s="27"/>
      <c r="B176" s="11" t="str">
        <f>CONCATENATE("          ", "6362", " - ", "ADVERTISING EXPENSE")</f>
        <v xml:space="preserve">          6362 - ADVERTISING EXPENSE</v>
      </c>
      <c r="C176" s="11"/>
      <c r="D176" s="7">
        <v>1236.4100000000001</v>
      </c>
      <c r="E176" s="2"/>
      <c r="F176" s="6">
        <f t="shared" si="44"/>
        <v>7.8000563701552806E-4</v>
      </c>
      <c r="G176" s="2"/>
      <c r="H176" s="7">
        <v>1703.25</v>
      </c>
      <c r="I176" s="2"/>
      <c r="J176" s="6">
        <f t="shared" si="45"/>
        <v>1.1647554340123562E-3</v>
      </c>
      <c r="K176" s="2"/>
      <c r="L176" s="7">
        <f t="shared" si="46"/>
        <v>-466.83999999999992</v>
      </c>
      <c r="M176" s="2"/>
      <c r="N176" s="6">
        <f t="shared" si="47"/>
        <v>-0.27408777337443119</v>
      </c>
      <c r="O176" s="11"/>
      <c r="P176" s="7">
        <v>11224.07</v>
      </c>
      <c r="Q176" s="2"/>
      <c r="R176" s="6">
        <f t="shared" si="48"/>
        <v>8.6600646132464711E-4</v>
      </c>
      <c r="S176" s="2"/>
      <c r="T176" s="7">
        <v>18217.59</v>
      </c>
      <c r="U176" s="2"/>
      <c r="V176" s="6">
        <f t="shared" si="49"/>
        <v>2.7580446447094836E-3</v>
      </c>
      <c r="W176" s="2"/>
      <c r="X176" s="7">
        <f t="shared" si="50"/>
        <v>-6993.52</v>
      </c>
      <c r="Y176" s="2"/>
      <c r="Z176" s="6">
        <f t="shared" si="51"/>
        <v>-0.38388831892692726</v>
      </c>
    </row>
    <row r="177" spans="1:26" s="29" customFormat="1" outlineLevel="1" collapsed="1" x14ac:dyDescent="0.3">
      <c r="A177" s="28"/>
      <c r="B177" s="14" t="str">
        <f>CONCATENATE("     ","Bad Debts/Over/Short                              ")</f>
        <v xml:space="preserve">     Bad Debts/Over/Short                              </v>
      </c>
      <c r="C177" s="14"/>
      <c r="D177" s="1">
        <f>SUM(OSRRefD22_3x_0)</f>
        <v>-5.74</v>
      </c>
      <c r="E177" s="1"/>
      <c r="F177" s="5">
        <f t="shared" si="44"/>
        <v>-3.621155083240293E-6</v>
      </c>
      <c r="G177" s="1"/>
      <c r="H177" s="1">
        <f>SUM(OSRRefH22_3x_0)</f>
        <v>1872.1</v>
      </c>
      <c r="I177" s="1"/>
      <c r="J177" s="5">
        <f t="shared" si="45"/>
        <v>1.2802223091234592E-3</v>
      </c>
      <c r="K177" s="1"/>
      <c r="L177" s="1">
        <f t="shared" si="46"/>
        <v>-1877.84</v>
      </c>
      <c r="M177" s="1"/>
      <c r="N177" s="5">
        <f t="shared" si="47"/>
        <v>-1.0030660755301533</v>
      </c>
      <c r="O177" s="14"/>
      <c r="P177" s="1">
        <f>SUM(OSRRefP22_3x_0)</f>
        <v>71.349999999999994</v>
      </c>
      <c r="Q177" s="1"/>
      <c r="R177" s="5">
        <f t="shared" si="48"/>
        <v>5.5050940537179091E-6</v>
      </c>
      <c r="S177" s="1"/>
      <c r="T177" s="1">
        <f>SUM(OSRRefT22_3x_0)</f>
        <v>1999.8999999999999</v>
      </c>
      <c r="U177" s="1"/>
      <c r="V177" s="5">
        <f t="shared" si="49"/>
        <v>3.0277404887004789E-4</v>
      </c>
      <c r="W177" s="1"/>
      <c r="X177" s="1">
        <f t="shared" si="50"/>
        <v>-1928.55</v>
      </c>
      <c r="Y177" s="1"/>
      <c r="Z177" s="5">
        <f t="shared" si="51"/>
        <v>-0.96432321616080807</v>
      </c>
    </row>
    <row r="178" spans="1:26" s="24" customFormat="1" hidden="1" outlineLevel="2" x14ac:dyDescent="0.3">
      <c r="A178" s="27"/>
      <c r="B178" s="11" t="str">
        <f>CONCATENATE("          ", "6272", " - ", "CASH (OVER/SHORT)")</f>
        <v xml:space="preserve">          6272 - CASH (OVER/SHORT)</v>
      </c>
      <c r="C178" s="11"/>
      <c r="D178" s="7">
        <v>-5.74</v>
      </c>
      <c r="E178" s="2"/>
      <c r="F178" s="6">
        <f t="shared" si="44"/>
        <v>-3.621155083240293E-6</v>
      </c>
      <c r="G178" s="2"/>
      <c r="H178" s="7">
        <v>-124.68</v>
      </c>
      <c r="I178" s="2"/>
      <c r="J178" s="6">
        <f t="shared" si="45"/>
        <v>-8.5261533839812466E-5</v>
      </c>
      <c r="K178" s="2"/>
      <c r="L178" s="7">
        <f t="shared" si="46"/>
        <v>118.94000000000001</v>
      </c>
      <c r="M178" s="2"/>
      <c r="N178" s="6">
        <f t="shared" si="47"/>
        <v>-0.95396214308630101</v>
      </c>
      <c r="O178" s="11"/>
      <c r="P178" s="7">
        <v>71.349999999999994</v>
      </c>
      <c r="Q178" s="2"/>
      <c r="R178" s="6">
        <f t="shared" si="48"/>
        <v>5.5050940537179091E-6</v>
      </c>
      <c r="S178" s="2"/>
      <c r="T178" s="7">
        <v>3.12</v>
      </c>
      <c r="U178" s="2"/>
      <c r="V178" s="6">
        <f t="shared" si="49"/>
        <v>4.7235113379396443E-7</v>
      </c>
      <c r="W178" s="2"/>
      <c r="X178" s="7">
        <f t="shared" si="50"/>
        <v>68.22999999999999</v>
      </c>
      <c r="Y178" s="2"/>
      <c r="Z178" s="6">
        <f t="shared" si="51"/>
        <v>21.868589743589741</v>
      </c>
    </row>
    <row r="179" spans="1:26" s="24" customFormat="1" hidden="1" outlineLevel="2" x14ac:dyDescent="0.3">
      <c r="A179" s="27"/>
      <c r="B179" s="11" t="str">
        <f>CONCATENATE("          ", "6342", " - ", "BAD DEBT")</f>
        <v xml:space="preserve">          6342 - BAD DEBT</v>
      </c>
      <c r="C179" s="11"/>
      <c r="D179" s="7"/>
      <c r="E179" s="2"/>
      <c r="F179" s="6">
        <f t="shared" si="44"/>
        <v>0</v>
      </c>
      <c r="G179" s="2"/>
      <c r="H179" s="7">
        <v>1996.78</v>
      </c>
      <c r="I179" s="2"/>
      <c r="J179" s="6">
        <f t="shared" si="45"/>
        <v>1.3654838429632717E-3</v>
      </c>
      <c r="K179" s="2"/>
      <c r="L179" s="7">
        <f t="shared" si="46"/>
        <v>-1996.78</v>
      </c>
      <c r="M179" s="2"/>
      <c r="N179" s="6">
        <f t="shared" si="47"/>
        <v>-1</v>
      </c>
      <c r="O179" s="11"/>
      <c r="P179" s="7"/>
      <c r="Q179" s="2"/>
      <c r="R179" s="6">
        <f t="shared" si="48"/>
        <v>0</v>
      </c>
      <c r="S179" s="2"/>
      <c r="T179" s="7">
        <v>1996.78</v>
      </c>
      <c r="U179" s="2"/>
      <c r="V179" s="6">
        <f t="shared" si="49"/>
        <v>3.0230169773625391E-4</v>
      </c>
      <c r="W179" s="2"/>
      <c r="X179" s="7">
        <f t="shared" si="50"/>
        <v>-1996.78</v>
      </c>
      <c r="Y179" s="2"/>
      <c r="Z179" s="6">
        <f t="shared" si="51"/>
        <v>-1</v>
      </c>
    </row>
    <row r="180" spans="1:26" s="29" customFormat="1" outlineLevel="1" collapsed="1" x14ac:dyDescent="0.3">
      <c r="A180" s="28"/>
      <c r="B180" s="14" t="str">
        <f>CONCATENATE("     ","Bank/card Fees                                    ")</f>
        <v xml:space="preserve">     Bank/card Fees                                    </v>
      </c>
      <c r="C180" s="14"/>
      <c r="D180" s="1">
        <f>SUM(OSRRefD22_4x_0)</f>
        <v>13120.88</v>
      </c>
      <c r="E180" s="1"/>
      <c r="F180" s="5">
        <f t="shared" ref="F180:F184" si="52">IF(D$12=0,0,D180/D$12)</f>
        <v>8.27748106421357E-3</v>
      </c>
      <c r="G180" s="1"/>
      <c r="H180" s="1">
        <f>SUM(OSRRefH22_4x_0)</f>
        <v>15972.03</v>
      </c>
      <c r="I180" s="1"/>
      <c r="J180" s="5">
        <f t="shared" ref="J180:J184" si="53">IF(H$12=0,0,H180/H$12)</f>
        <v>1.0922359450878247E-2</v>
      </c>
      <c r="K180" s="1"/>
      <c r="L180" s="1">
        <f t="shared" ref="L180:L184" si="54">+D180-H180</f>
        <v>-2851.1500000000015</v>
      </c>
      <c r="M180" s="1"/>
      <c r="N180" s="5">
        <f t="shared" ref="N180:N184" si="55">IF(H180=0,0,L180/H180)</f>
        <v>-0.17850893092487313</v>
      </c>
      <c r="O180" s="14"/>
      <c r="P180" s="1">
        <f>SUM(OSRRefP22_4x_0)</f>
        <v>109661.51</v>
      </c>
      <c r="Q180" s="1"/>
      <c r="R180" s="5">
        <f t="shared" ref="R180:R184" si="56">IF(P$12=0,0,P180/P$12)</f>
        <v>8.4610641432757809E-3</v>
      </c>
      <c r="S180" s="1"/>
      <c r="T180" s="1">
        <f>SUM(OSRRefT22_4x_0)</f>
        <v>67591.679999999993</v>
      </c>
      <c r="U180" s="1"/>
      <c r="V180" s="5">
        <f t="shared" ref="V180:V184" si="57">IF(T$12=0,0,T180/T$12)</f>
        <v>1.0233014962512445E-2</v>
      </c>
      <c r="W180" s="1"/>
      <c r="X180" s="1">
        <f t="shared" ref="X180:X184" si="58">+P180-T180</f>
        <v>42069.83</v>
      </c>
      <c r="Y180" s="1"/>
      <c r="Z180" s="5">
        <f t="shared" ref="Z180:Z184" si="59">IF(T180=0,0,X180/T180)</f>
        <v>0.62241136778964523</v>
      </c>
    </row>
    <row r="181" spans="1:26" s="24" customFormat="1" hidden="1" outlineLevel="2" x14ac:dyDescent="0.3">
      <c r="A181" s="27"/>
      <c r="B181" s="11" t="str">
        <f>CONCATENATE("          ", "6381", " - ", "BANK/CREDIT CARD FEES")</f>
        <v xml:space="preserve">          6381 - BANK/CREDIT CARD FEES</v>
      </c>
      <c r="C181" s="11"/>
      <c r="D181" s="7">
        <v>13120.88</v>
      </c>
      <c r="E181" s="2"/>
      <c r="F181" s="6">
        <f t="shared" si="52"/>
        <v>8.27748106421357E-3</v>
      </c>
      <c r="G181" s="2"/>
      <c r="H181" s="7">
        <v>15972.03</v>
      </c>
      <c r="I181" s="2"/>
      <c r="J181" s="6">
        <f t="shared" si="53"/>
        <v>1.0922359450878247E-2</v>
      </c>
      <c r="K181" s="2"/>
      <c r="L181" s="7">
        <f t="shared" si="54"/>
        <v>-2851.1500000000015</v>
      </c>
      <c r="M181" s="2"/>
      <c r="N181" s="6">
        <f t="shared" si="55"/>
        <v>-0.17850893092487313</v>
      </c>
      <c r="O181" s="11"/>
      <c r="P181" s="7">
        <v>109661.51</v>
      </c>
      <c r="Q181" s="2"/>
      <c r="R181" s="6">
        <f t="shared" si="56"/>
        <v>8.4610641432757809E-3</v>
      </c>
      <c r="S181" s="2"/>
      <c r="T181" s="7">
        <v>67591.679999999993</v>
      </c>
      <c r="U181" s="2"/>
      <c r="V181" s="6">
        <f t="shared" si="57"/>
        <v>1.0233014962512445E-2</v>
      </c>
      <c r="W181" s="2"/>
      <c r="X181" s="7">
        <f t="shared" si="58"/>
        <v>42069.83</v>
      </c>
      <c r="Y181" s="2"/>
      <c r="Z181" s="6">
        <f t="shared" si="59"/>
        <v>0.62241136778964523</v>
      </c>
    </row>
    <row r="182" spans="1:26" s="29" customFormat="1" outlineLevel="1" collapsed="1" x14ac:dyDescent="0.3">
      <c r="A182" s="28"/>
      <c r="B182" s="14" t="str">
        <f>CONCATENATE("     ","Depreciation                                      ")</f>
        <v xml:space="preserve">     Depreciation                                      </v>
      </c>
      <c r="C182" s="14"/>
      <c r="D182" s="1">
        <f>SUM(OSRRefD22_5x_0)</f>
        <v>68497.2</v>
      </c>
      <c r="E182" s="1"/>
      <c r="F182" s="5">
        <f t="shared" si="52"/>
        <v>4.3212366544900169E-2</v>
      </c>
      <c r="G182" s="1"/>
      <c r="H182" s="1">
        <f>SUM(OSRRefH22_5x_0)</f>
        <v>77647.64</v>
      </c>
      <c r="I182" s="1"/>
      <c r="J182" s="5">
        <f t="shared" si="53"/>
        <v>5.3098787980763354E-2</v>
      </c>
      <c r="K182" s="1"/>
      <c r="L182" s="1">
        <f t="shared" si="54"/>
        <v>-9150.4400000000023</v>
      </c>
      <c r="M182" s="1"/>
      <c r="N182" s="5">
        <f t="shared" si="55"/>
        <v>-0.11784569370041385</v>
      </c>
      <c r="O182" s="14"/>
      <c r="P182" s="1">
        <f>SUM(OSRRefP22_5x_0)</f>
        <v>495907.91</v>
      </c>
      <c r="Q182" s="1"/>
      <c r="R182" s="5">
        <f t="shared" si="56"/>
        <v>3.8262364212090762E-2</v>
      </c>
      <c r="S182" s="1"/>
      <c r="T182" s="1">
        <f>SUM(OSRRefT22_5x_0)</f>
        <v>546305.33000000007</v>
      </c>
      <c r="U182" s="1"/>
      <c r="V182" s="5">
        <f t="shared" si="57"/>
        <v>8.2707673725380099E-2</v>
      </c>
      <c r="W182" s="1"/>
      <c r="X182" s="1">
        <f t="shared" si="58"/>
        <v>-50397.4200000001</v>
      </c>
      <c r="Y182" s="1"/>
      <c r="Z182" s="5">
        <f t="shared" si="59"/>
        <v>-9.2251378912960799E-2</v>
      </c>
    </row>
    <row r="183" spans="1:26" s="24" customFormat="1" hidden="1" outlineLevel="2" x14ac:dyDescent="0.3">
      <c r="A183" s="27"/>
      <c r="B183" s="11" t="str">
        <f>CONCATENATE("          ", "6321", " - ", "BUILDING DEPRECIATION")</f>
        <v xml:space="preserve">          6321 - BUILDING DEPRECIATION</v>
      </c>
      <c r="C183" s="11"/>
      <c r="D183" s="7">
        <v>42751.51</v>
      </c>
      <c r="E183" s="2"/>
      <c r="F183" s="6">
        <f t="shared" si="52"/>
        <v>2.6970356751341153E-2</v>
      </c>
      <c r="G183" s="2"/>
      <c r="H183" s="7">
        <v>45060.52</v>
      </c>
      <c r="I183" s="2"/>
      <c r="J183" s="6">
        <f t="shared" si="53"/>
        <v>3.0814317058225422E-2</v>
      </c>
      <c r="K183" s="2"/>
      <c r="L183" s="7">
        <f t="shared" si="54"/>
        <v>-2309.0099999999948</v>
      </c>
      <c r="M183" s="2"/>
      <c r="N183" s="6">
        <f t="shared" si="55"/>
        <v>-5.1242417974759168E-2</v>
      </c>
      <c r="O183" s="11"/>
      <c r="P183" s="7">
        <v>312938.21999999997</v>
      </c>
      <c r="Q183" s="2"/>
      <c r="R183" s="6">
        <f t="shared" si="56"/>
        <v>2.4145120309783694E-2</v>
      </c>
      <c r="S183" s="2"/>
      <c r="T183" s="7">
        <v>316207.83</v>
      </c>
      <c r="U183" s="2"/>
      <c r="V183" s="6">
        <f t="shared" si="57"/>
        <v>4.7872156094560629E-2</v>
      </c>
      <c r="W183" s="2"/>
      <c r="X183" s="7">
        <f t="shared" si="58"/>
        <v>-3269.6100000000442</v>
      </c>
      <c r="Y183" s="2"/>
      <c r="Z183" s="6">
        <f t="shared" si="59"/>
        <v>-1.0340066531559462E-2</v>
      </c>
    </row>
    <row r="184" spans="1:26" s="24" customFormat="1" hidden="1" outlineLevel="2" x14ac:dyDescent="0.3">
      <c r="A184" s="27"/>
      <c r="B184" s="11" t="str">
        <f>CONCATENATE("          ", "6322", " - ", "EQUIPMENT DEPRECIATION EXPENSE")</f>
        <v xml:space="preserve">          6322 - EQUIPMENT DEPRECIATION EXPENSE</v>
      </c>
      <c r="C184" s="11"/>
      <c r="D184" s="7">
        <v>25745.69</v>
      </c>
      <c r="E184" s="2"/>
      <c r="F184" s="6">
        <f t="shared" si="52"/>
        <v>1.6242009793559019E-2</v>
      </c>
      <c r="G184" s="2"/>
      <c r="H184" s="7">
        <v>32587.119999999999</v>
      </c>
      <c r="I184" s="2"/>
      <c r="J184" s="6">
        <f t="shared" si="53"/>
        <v>2.2284470922537932E-2</v>
      </c>
      <c r="K184" s="2"/>
      <c r="L184" s="7">
        <f t="shared" si="54"/>
        <v>-6841.43</v>
      </c>
      <c r="M184" s="2"/>
      <c r="N184" s="6">
        <f t="shared" si="55"/>
        <v>-0.20994276266205791</v>
      </c>
      <c r="O184" s="11"/>
      <c r="P184" s="7">
        <v>182969.69</v>
      </c>
      <c r="Q184" s="2"/>
      <c r="R184" s="6">
        <f t="shared" si="56"/>
        <v>1.4117243902307066E-2</v>
      </c>
      <c r="S184" s="2"/>
      <c r="T184" s="7">
        <v>230097.5</v>
      </c>
      <c r="U184" s="2"/>
      <c r="V184" s="6">
        <f t="shared" si="57"/>
        <v>3.4835517630819463E-2</v>
      </c>
      <c r="W184" s="2"/>
      <c r="X184" s="7">
        <f t="shared" si="58"/>
        <v>-47127.81</v>
      </c>
      <c r="Y184" s="2"/>
      <c r="Z184" s="6">
        <f t="shared" si="59"/>
        <v>-0.20481669726963569</v>
      </c>
    </row>
    <row r="185" spans="1:26" s="29" customFormat="1" outlineLevel="1" collapsed="1" x14ac:dyDescent="0.3">
      <c r="A185" s="28"/>
      <c r="B185" s="14" t="str">
        <f>CONCATENATE("     ","Discounts and Markdowns                           ")</f>
        <v xml:space="preserve">     Discounts and Markdowns                           </v>
      </c>
      <c r="C185" s="14"/>
      <c r="D185" s="1">
        <f>SUM(OSRRefD22_6x_0)</f>
        <v>-1290.25</v>
      </c>
      <c r="E185" s="1"/>
      <c r="F185" s="5">
        <f t="shared" ref="F185:F187" si="60">IF(D$12=0,0,D185/D$12)</f>
        <v>-8.1397131466041603E-4</v>
      </c>
      <c r="G185" s="1"/>
      <c r="H185" s="1">
        <f>SUM(OSRRefH22_6x_0)</f>
        <v>-42.86</v>
      </c>
      <c r="I185" s="1"/>
      <c r="J185" s="5">
        <f t="shared" ref="J185:J187" si="61">IF(H$12=0,0,H185/H$12)</f>
        <v>-2.9309507061071238E-5</v>
      </c>
      <c r="K185" s="1"/>
      <c r="L185" s="1">
        <f t="shared" ref="L185:L187" si="62">+D185-H185</f>
        <v>-1247.3900000000001</v>
      </c>
      <c r="M185" s="1"/>
      <c r="N185" s="5">
        <f t="shared" ref="N185:N187" si="63">IF(H185=0,0,L185/H185)</f>
        <v>29.103826411572566</v>
      </c>
      <c r="O185" s="14"/>
      <c r="P185" s="1">
        <f>SUM(OSRRefP22_6x_0)</f>
        <v>2064.5499999999997</v>
      </c>
      <c r="Q185" s="1"/>
      <c r="R185" s="5">
        <f t="shared" ref="R185:R187" si="64">IF(P$12=0,0,P185/P$12)</f>
        <v>1.592928090904458E-4</v>
      </c>
      <c r="S185" s="1"/>
      <c r="T185" s="1">
        <f>SUM(OSRRefT22_6x_0)</f>
        <v>-42.86</v>
      </c>
      <c r="U185" s="1"/>
      <c r="V185" s="5">
        <f t="shared" ref="V185:V187" si="65">IF(T$12=0,0,T185/T$12)</f>
        <v>-6.4887723059004217E-6</v>
      </c>
      <c r="W185" s="1"/>
      <c r="X185" s="1">
        <f t="shared" ref="X185:X187" si="66">+P185-T185</f>
        <v>2107.41</v>
      </c>
      <c r="Y185" s="1"/>
      <c r="Z185" s="5">
        <f t="shared" ref="Z185:Z187" si="67">IF(T185=0,0,X185/T185)</f>
        <v>-49.169622025198315</v>
      </c>
    </row>
    <row r="186" spans="1:26" s="24" customFormat="1" hidden="1" outlineLevel="2" x14ac:dyDescent="0.3">
      <c r="A186" s="27"/>
      <c r="B186" s="11" t="str">
        <f>CONCATENATE("          ", "6382", " - ", "DISCOUNTS/MARK DOWNS")</f>
        <v xml:space="preserve">          6382 - DISCOUNTS/MARK DOWNS</v>
      </c>
      <c r="C186" s="11"/>
      <c r="D186" s="7">
        <v>-1238.6500000000001</v>
      </c>
      <c r="E186" s="2"/>
      <c r="F186" s="6">
        <f t="shared" si="60"/>
        <v>-7.8141877070654869E-4</v>
      </c>
      <c r="G186" s="2"/>
      <c r="H186" s="7">
        <v>0</v>
      </c>
      <c r="I186" s="2"/>
      <c r="J186" s="6">
        <f t="shared" si="61"/>
        <v>0</v>
      </c>
      <c r="K186" s="2"/>
      <c r="L186" s="7">
        <f t="shared" si="62"/>
        <v>-1238.6500000000001</v>
      </c>
      <c r="M186" s="2"/>
      <c r="N186" s="6">
        <f t="shared" si="63"/>
        <v>0</v>
      </c>
      <c r="O186" s="11"/>
      <c r="P186" s="7">
        <v>2171.35</v>
      </c>
      <c r="Q186" s="2"/>
      <c r="R186" s="6">
        <f t="shared" si="64"/>
        <v>1.6753309002859678E-4</v>
      </c>
      <c r="S186" s="2"/>
      <c r="T186" s="7">
        <v>0</v>
      </c>
      <c r="U186" s="2"/>
      <c r="V186" s="6">
        <f t="shared" si="65"/>
        <v>0</v>
      </c>
      <c r="W186" s="2"/>
      <c r="X186" s="7">
        <f t="shared" si="66"/>
        <v>2171.35</v>
      </c>
      <c r="Y186" s="2"/>
      <c r="Z186" s="6">
        <f t="shared" si="67"/>
        <v>0</v>
      </c>
    </row>
    <row r="187" spans="1:26" s="24" customFormat="1" hidden="1" outlineLevel="2" x14ac:dyDescent="0.3">
      <c r="A187" s="27"/>
      <c r="B187" s="11" t="str">
        <f>CONCATENATE("          ", "9175", " - ", "EARNED DISCOUNTS")</f>
        <v xml:space="preserve">          9175 - EARNED DISCOUNTS</v>
      </c>
      <c r="C187" s="11"/>
      <c r="D187" s="7">
        <v>-51.6</v>
      </c>
      <c r="E187" s="2"/>
      <c r="F187" s="6">
        <f t="shared" si="60"/>
        <v>-3.2552543953867446E-5</v>
      </c>
      <c r="G187" s="2"/>
      <c r="H187" s="7">
        <v>-42.86</v>
      </c>
      <c r="I187" s="2"/>
      <c r="J187" s="6">
        <f t="shared" si="61"/>
        <v>-2.9309507061071238E-5</v>
      </c>
      <c r="K187" s="2"/>
      <c r="L187" s="7">
        <f t="shared" si="62"/>
        <v>-8.740000000000002</v>
      </c>
      <c r="M187" s="2"/>
      <c r="N187" s="6">
        <f t="shared" si="63"/>
        <v>0.20391973868408778</v>
      </c>
      <c r="O187" s="11"/>
      <c r="P187" s="7">
        <v>-106.8</v>
      </c>
      <c r="Q187" s="2"/>
      <c r="R187" s="6">
        <f t="shared" si="64"/>
        <v>-8.2402809381509834E-6</v>
      </c>
      <c r="S187" s="2"/>
      <c r="T187" s="7">
        <v>-42.86</v>
      </c>
      <c r="U187" s="2"/>
      <c r="V187" s="6">
        <f t="shared" si="65"/>
        <v>-6.4887723059004217E-6</v>
      </c>
      <c r="W187" s="2"/>
      <c r="X187" s="7">
        <f t="shared" si="66"/>
        <v>-63.94</v>
      </c>
      <c r="Y187" s="2"/>
      <c r="Z187" s="6">
        <f t="shared" si="67"/>
        <v>1.4918338777414839</v>
      </c>
    </row>
    <row r="188" spans="1:26" s="29" customFormat="1" outlineLevel="1" collapsed="1" x14ac:dyDescent="0.3">
      <c r="A188" s="28"/>
      <c r="B188" s="14" t="str">
        <f>CONCATENATE("     ","Donations                                         ")</f>
        <v xml:space="preserve">     Donations                                         </v>
      </c>
      <c r="C188" s="14"/>
      <c r="D188" s="1">
        <f>SUM(OSRRefD22_7x_0)</f>
        <v>4031.65</v>
      </c>
      <c r="E188" s="1"/>
      <c r="F188" s="5">
        <f t="shared" ref="F188:F196" si="68">IF(D$12=0,0,D188/D$12)</f>
        <v>2.5434198416978619E-3</v>
      </c>
      <c r="G188" s="1"/>
      <c r="H188" s="1">
        <f>SUM(OSRRefH22_7x_0)</f>
        <v>1459.14</v>
      </c>
      <c r="I188" s="1"/>
      <c r="J188" s="5">
        <f t="shared" ref="J188:J196" si="69">IF(H$12=0,0,H188/H$12)</f>
        <v>9.9782254160269454E-4</v>
      </c>
      <c r="K188" s="1"/>
      <c r="L188" s="1">
        <f t="shared" ref="L188:L196" si="70">+D188-H188</f>
        <v>2572.5100000000002</v>
      </c>
      <c r="M188" s="1"/>
      <c r="N188" s="5">
        <f t="shared" ref="N188:N196" si="71">IF(H188=0,0,L188/H188)</f>
        <v>1.763031648779418</v>
      </c>
      <c r="O188" s="14"/>
      <c r="P188" s="1">
        <f>SUM(OSRRefP22_7x_0)</f>
        <v>43446.87</v>
      </c>
      <c r="Q188" s="1"/>
      <c r="R188" s="5">
        <f t="shared" ref="R188:R196" si="72">IF(P$12=0,0,P188/P$12)</f>
        <v>3.3521948940386129E-3</v>
      </c>
      <c r="S188" s="1"/>
      <c r="T188" s="1">
        <f>SUM(OSRRefT22_7x_0)</f>
        <v>38281.15</v>
      </c>
      <c r="U188" s="1"/>
      <c r="V188" s="5">
        <f t="shared" ref="V188:V196" si="73">IF(T$12=0,0,T188/T$12)</f>
        <v>5.7955591684092376E-3</v>
      </c>
      <c r="W188" s="1"/>
      <c r="X188" s="1">
        <f t="shared" ref="X188:X196" si="74">+P188-T188</f>
        <v>5165.7200000000012</v>
      </c>
      <c r="Y188" s="1"/>
      <c r="Z188" s="5">
        <f t="shared" ref="Z188:Z196" si="75">IF(T188=0,0,X188/T188)</f>
        <v>0.13494160964338847</v>
      </c>
    </row>
    <row r="189" spans="1:26" s="24" customFormat="1" hidden="1" outlineLevel="2" x14ac:dyDescent="0.3">
      <c r="A189" s="27"/>
      <c r="B189" s="11" t="str">
        <f>CONCATENATE("          ", "6399", " - ", "DONATION-ON CAMPUS")</f>
        <v xml:space="preserve">          6399 - DONATION-ON CAMPUS</v>
      </c>
      <c r="C189" s="11"/>
      <c r="D189" s="7">
        <v>4031.65</v>
      </c>
      <c r="E189" s="2"/>
      <c r="F189" s="6">
        <f t="shared" si="68"/>
        <v>2.5434198416978619E-3</v>
      </c>
      <c r="G189" s="2"/>
      <c r="H189" s="7">
        <v>1459.14</v>
      </c>
      <c r="I189" s="2"/>
      <c r="J189" s="6">
        <f t="shared" si="69"/>
        <v>9.9782254160269454E-4</v>
      </c>
      <c r="K189" s="2"/>
      <c r="L189" s="7">
        <f t="shared" si="70"/>
        <v>2572.5100000000002</v>
      </c>
      <c r="M189" s="2"/>
      <c r="N189" s="6">
        <f t="shared" si="71"/>
        <v>1.763031648779418</v>
      </c>
      <c r="O189" s="11"/>
      <c r="P189" s="7">
        <v>43446.87</v>
      </c>
      <c r="Q189" s="2"/>
      <c r="R189" s="6">
        <f t="shared" si="72"/>
        <v>3.3521948940386129E-3</v>
      </c>
      <c r="S189" s="2"/>
      <c r="T189" s="7">
        <v>38281.15</v>
      </c>
      <c r="U189" s="2"/>
      <c r="V189" s="6">
        <f t="shared" si="73"/>
        <v>5.7955591684092376E-3</v>
      </c>
      <c r="W189" s="2"/>
      <c r="X189" s="7">
        <f t="shared" si="74"/>
        <v>5165.7200000000012</v>
      </c>
      <c r="Y189" s="2"/>
      <c r="Z189" s="6">
        <f t="shared" si="75"/>
        <v>0.13494160964338847</v>
      </c>
    </row>
    <row r="190" spans="1:26" s="29" customFormat="1" outlineLevel="1" collapsed="1" x14ac:dyDescent="0.3">
      <c r="A190" s="28"/>
      <c r="B190" s="14" t="str">
        <f>CONCATENATE("     ","Employees' Appreciation                           ")</f>
        <v xml:space="preserve">     Employees' Appreciation                           </v>
      </c>
      <c r="C190" s="14"/>
      <c r="D190" s="1">
        <f>SUM(OSRRefD22_8x_0)</f>
        <v>1497.36</v>
      </c>
      <c r="E190" s="1"/>
      <c r="F190" s="5">
        <f t="shared" si="68"/>
        <v>9.4462940338687891E-4</v>
      </c>
      <c r="G190" s="1"/>
      <c r="H190" s="1">
        <f>SUM(OSRRefH22_8x_0)</f>
        <v>78.33</v>
      </c>
      <c r="I190" s="1"/>
      <c r="J190" s="5">
        <f t="shared" si="69"/>
        <v>5.356541502785138E-5</v>
      </c>
      <c r="K190" s="1"/>
      <c r="L190" s="1">
        <f t="shared" si="70"/>
        <v>1419.03</v>
      </c>
      <c r="M190" s="1"/>
      <c r="N190" s="5">
        <f t="shared" si="71"/>
        <v>18.116047491382613</v>
      </c>
      <c r="O190" s="14"/>
      <c r="P190" s="1">
        <f>SUM(OSRRefP22_8x_0)</f>
        <v>4798.3999999999996</v>
      </c>
      <c r="Q190" s="1"/>
      <c r="R190" s="5">
        <f t="shared" si="72"/>
        <v>3.7022625518374228E-4</v>
      </c>
      <c r="S190" s="1"/>
      <c r="T190" s="1">
        <f>SUM(OSRRefT22_8x_0)</f>
        <v>196.03</v>
      </c>
      <c r="U190" s="1"/>
      <c r="V190" s="5">
        <f t="shared" si="73"/>
        <v>2.9677882294112452E-5</v>
      </c>
      <c r="W190" s="1"/>
      <c r="X190" s="1">
        <f t="shared" si="74"/>
        <v>4602.37</v>
      </c>
      <c r="Y190" s="1"/>
      <c r="Z190" s="5">
        <f t="shared" si="75"/>
        <v>23.477886037851349</v>
      </c>
    </row>
    <row r="191" spans="1:26" s="24" customFormat="1" hidden="1" outlineLevel="2" x14ac:dyDescent="0.3">
      <c r="A191" s="27"/>
      <c r="B191" s="11" t="str">
        <f>CONCATENATE("          ", "6277", " - ", "EMPLOYEE APPRECIATION")</f>
        <v xml:space="preserve">          6277 - EMPLOYEE APPRECIATION</v>
      </c>
      <c r="C191" s="11"/>
      <c r="D191" s="7">
        <v>1497.36</v>
      </c>
      <c r="E191" s="2"/>
      <c r="F191" s="6">
        <f t="shared" si="68"/>
        <v>9.4462940338687891E-4</v>
      </c>
      <c r="G191" s="2"/>
      <c r="H191" s="7">
        <v>78.33</v>
      </c>
      <c r="I191" s="2"/>
      <c r="J191" s="6">
        <f t="shared" si="69"/>
        <v>5.356541502785138E-5</v>
      </c>
      <c r="K191" s="2"/>
      <c r="L191" s="7">
        <f t="shared" si="70"/>
        <v>1419.03</v>
      </c>
      <c r="M191" s="2"/>
      <c r="N191" s="6">
        <f t="shared" si="71"/>
        <v>18.116047491382613</v>
      </c>
      <c r="O191" s="11"/>
      <c r="P191" s="7">
        <v>4798.3999999999996</v>
      </c>
      <c r="Q191" s="2"/>
      <c r="R191" s="6">
        <f t="shared" si="72"/>
        <v>3.7022625518374228E-4</v>
      </c>
      <c r="S191" s="2"/>
      <c r="T191" s="7">
        <v>196.03</v>
      </c>
      <c r="U191" s="2"/>
      <c r="V191" s="6">
        <f t="shared" si="73"/>
        <v>2.9677882294112452E-5</v>
      </c>
      <c r="W191" s="2"/>
      <c r="X191" s="7">
        <f t="shared" si="74"/>
        <v>4602.37</v>
      </c>
      <c r="Y191" s="2"/>
      <c r="Z191" s="6">
        <f t="shared" si="75"/>
        <v>23.477886037851349</v>
      </c>
    </row>
    <row r="192" spans="1:26" s="29" customFormat="1" outlineLevel="1" collapsed="1" x14ac:dyDescent="0.3">
      <c r="A192" s="28"/>
      <c r="B192" s="14" t="str">
        <f>CONCATENATE("     ","Equipment Rental                                  ")</f>
        <v xml:space="preserve">     Equipment Rental                                  </v>
      </c>
      <c r="C192" s="14"/>
      <c r="D192" s="1">
        <f>SUM(OSRRefD22_9x_0)</f>
        <v>2830.88</v>
      </c>
      <c r="E192" s="1"/>
      <c r="F192" s="5">
        <f t="shared" si="68"/>
        <v>1.7858981710876796E-3</v>
      </c>
      <c r="G192" s="1"/>
      <c r="H192" s="1">
        <f>SUM(OSRRefH22_9x_0)</f>
        <v>2009.31</v>
      </c>
      <c r="I192" s="1"/>
      <c r="J192" s="5">
        <f t="shared" si="69"/>
        <v>1.374052394607584E-3</v>
      </c>
      <c r="K192" s="1"/>
      <c r="L192" s="1">
        <f t="shared" si="70"/>
        <v>821.57000000000016</v>
      </c>
      <c r="M192" s="1"/>
      <c r="N192" s="5">
        <f t="shared" si="71"/>
        <v>0.40888165589182368</v>
      </c>
      <c r="O192" s="14"/>
      <c r="P192" s="1">
        <f>SUM(OSRRefP22_9x_0)</f>
        <v>26324.26</v>
      </c>
      <c r="Q192" s="1"/>
      <c r="R192" s="5">
        <f t="shared" si="72"/>
        <v>2.0310795682484122E-3</v>
      </c>
      <c r="S192" s="1"/>
      <c r="T192" s="1">
        <f>SUM(OSRRefT22_9x_0)</f>
        <v>18375.349999999999</v>
      </c>
      <c r="U192" s="1"/>
      <c r="V192" s="5">
        <f t="shared" si="73"/>
        <v>2.7819286558849114E-3</v>
      </c>
      <c r="W192" s="1"/>
      <c r="X192" s="1">
        <f t="shared" si="74"/>
        <v>7948.91</v>
      </c>
      <c r="Y192" s="1"/>
      <c r="Z192" s="5">
        <f t="shared" si="75"/>
        <v>0.4325855017727554</v>
      </c>
    </row>
    <row r="193" spans="1:26" s="24" customFormat="1" hidden="1" outlineLevel="2" x14ac:dyDescent="0.3">
      <c r="A193" s="27"/>
      <c r="B193" s="11" t="str">
        <f>CONCATENATE("          ", "6351", " - ", "EQUIPMENT RENTAL")</f>
        <v xml:space="preserve">          6351 - EQUIPMENT RENTAL</v>
      </c>
      <c r="C193" s="11"/>
      <c r="D193" s="7">
        <v>2830.88</v>
      </c>
      <c r="E193" s="2"/>
      <c r="F193" s="6">
        <f t="shared" si="68"/>
        <v>1.7858981710876796E-3</v>
      </c>
      <c r="G193" s="2"/>
      <c r="H193" s="7">
        <v>2009.31</v>
      </c>
      <c r="I193" s="2"/>
      <c r="J193" s="6">
        <f t="shared" si="69"/>
        <v>1.374052394607584E-3</v>
      </c>
      <c r="K193" s="2"/>
      <c r="L193" s="7">
        <f t="shared" si="70"/>
        <v>821.57000000000016</v>
      </c>
      <c r="M193" s="2"/>
      <c r="N193" s="6">
        <f t="shared" si="71"/>
        <v>0.40888165589182368</v>
      </c>
      <c r="O193" s="11"/>
      <c r="P193" s="7">
        <v>26324.26</v>
      </c>
      <c r="Q193" s="2"/>
      <c r="R193" s="6">
        <f t="shared" si="72"/>
        <v>2.0310795682484122E-3</v>
      </c>
      <c r="S193" s="2"/>
      <c r="T193" s="7">
        <v>18375.349999999999</v>
      </c>
      <c r="U193" s="2"/>
      <c r="V193" s="6">
        <f t="shared" si="73"/>
        <v>2.7819286558849114E-3</v>
      </c>
      <c r="W193" s="2"/>
      <c r="X193" s="7">
        <f t="shared" si="74"/>
        <v>7948.91</v>
      </c>
      <c r="Y193" s="2"/>
      <c r="Z193" s="6">
        <f t="shared" si="75"/>
        <v>0.4325855017727554</v>
      </c>
    </row>
    <row r="194" spans="1:26" s="29" customFormat="1" outlineLevel="1" collapsed="1" x14ac:dyDescent="0.3">
      <c r="A194" s="28"/>
      <c r="B194" s="14" t="str">
        <f>CONCATENATE("     ","Freight out/Postage                               ")</f>
        <v xml:space="preserve">     Freight out/Postage                               </v>
      </c>
      <c r="C194" s="14"/>
      <c r="D194" s="1">
        <f>SUM(OSRRefD22_10x_0)</f>
        <v>-7280.8900000000012</v>
      </c>
      <c r="E194" s="1"/>
      <c r="F194" s="5">
        <f t="shared" si="68"/>
        <v>-4.5932459641138366E-3</v>
      </c>
      <c r="G194" s="1"/>
      <c r="H194" s="1">
        <f>SUM(OSRRefH22_10x_0)</f>
        <v>-21639.420000000002</v>
      </c>
      <c r="I194" s="1"/>
      <c r="J194" s="5">
        <f t="shared" si="69"/>
        <v>-1.4797963912447183E-2</v>
      </c>
      <c r="K194" s="1"/>
      <c r="L194" s="1">
        <f t="shared" si="70"/>
        <v>14358.53</v>
      </c>
      <c r="M194" s="1"/>
      <c r="N194" s="5">
        <f t="shared" si="71"/>
        <v>-0.66353580641255627</v>
      </c>
      <c r="O194" s="14"/>
      <c r="P194" s="1">
        <f>SUM(OSRRefP22_10x_0)</f>
        <v>-39325.349999999991</v>
      </c>
      <c r="Q194" s="1"/>
      <c r="R194" s="5">
        <f t="shared" si="72"/>
        <v>-3.034194119767001E-3</v>
      </c>
      <c r="S194" s="1"/>
      <c r="T194" s="1">
        <f>SUM(OSRRefT22_10x_0)</f>
        <v>-35711.139999999985</v>
      </c>
      <c r="U194" s="1"/>
      <c r="V194" s="5">
        <f t="shared" si="73"/>
        <v>-5.4064735474599317E-3</v>
      </c>
      <c r="W194" s="1"/>
      <c r="X194" s="1">
        <f t="shared" si="74"/>
        <v>-3614.2100000000064</v>
      </c>
      <c r="Y194" s="1"/>
      <c r="Z194" s="5">
        <f t="shared" si="75"/>
        <v>0.10120679429444168</v>
      </c>
    </row>
    <row r="195" spans="1:26" s="24" customFormat="1" hidden="1" outlineLevel="2" x14ac:dyDescent="0.3">
      <c r="A195" s="27"/>
      <c r="B195" s="11" t="str">
        <f>CONCATENATE("          ", "6305", " - ", "FREIGHT OUT")</f>
        <v xml:space="preserve">          6305 - FREIGHT OUT</v>
      </c>
      <c r="C195" s="11"/>
      <c r="D195" s="7">
        <v>16037.19</v>
      </c>
      <c r="E195" s="2"/>
      <c r="F195" s="6">
        <f t="shared" si="68"/>
        <v>1.0117273883169058E-2</v>
      </c>
      <c r="G195" s="2"/>
      <c r="H195" s="7">
        <v>18846.8</v>
      </c>
      <c r="I195" s="2"/>
      <c r="J195" s="6">
        <f t="shared" si="69"/>
        <v>1.2888250529131997E-2</v>
      </c>
      <c r="K195" s="2"/>
      <c r="L195" s="7">
        <f t="shared" si="70"/>
        <v>-2809.6099999999988</v>
      </c>
      <c r="M195" s="2"/>
      <c r="N195" s="6">
        <f t="shared" si="71"/>
        <v>-0.14907623575354961</v>
      </c>
      <c r="O195" s="11"/>
      <c r="P195" s="7">
        <v>94259.199999999997</v>
      </c>
      <c r="Q195" s="2"/>
      <c r="R195" s="6">
        <f t="shared" si="72"/>
        <v>7.2726806086644306E-3</v>
      </c>
      <c r="S195" s="2"/>
      <c r="T195" s="7">
        <v>136589.76000000001</v>
      </c>
      <c r="U195" s="2"/>
      <c r="V195" s="6">
        <f t="shared" si="73"/>
        <v>2.0678951282258173E-2</v>
      </c>
      <c r="W195" s="2"/>
      <c r="X195" s="7">
        <f t="shared" si="74"/>
        <v>-42330.560000000012</v>
      </c>
      <c r="Y195" s="2"/>
      <c r="Z195" s="6">
        <f t="shared" si="75"/>
        <v>-0.30991020117467083</v>
      </c>
    </row>
    <row r="196" spans="1:26" s="24" customFormat="1" hidden="1" outlineLevel="2" x14ac:dyDescent="0.3">
      <c r="A196" s="27"/>
      <c r="B196" s="11" t="str">
        <f>CONCATENATE("          ", "6307", " - ", "POSTAGE")</f>
        <v xml:space="preserve">          6307 - POSTAGE</v>
      </c>
      <c r="C196" s="11"/>
      <c r="D196" s="7">
        <v>-23318.080000000002</v>
      </c>
      <c r="E196" s="2"/>
      <c r="F196" s="6">
        <f t="shared" si="68"/>
        <v>-1.4710519847282895E-2</v>
      </c>
      <c r="G196" s="2"/>
      <c r="H196" s="7">
        <v>-40486.22</v>
      </c>
      <c r="I196" s="2"/>
      <c r="J196" s="6">
        <f t="shared" si="69"/>
        <v>-2.768621444157918E-2</v>
      </c>
      <c r="K196" s="2"/>
      <c r="L196" s="7">
        <f t="shared" si="70"/>
        <v>17168.14</v>
      </c>
      <c r="M196" s="2"/>
      <c r="N196" s="6">
        <f t="shared" si="71"/>
        <v>-0.42404897271219688</v>
      </c>
      <c r="O196" s="11"/>
      <c r="P196" s="7">
        <v>-133584.54999999999</v>
      </c>
      <c r="Q196" s="2"/>
      <c r="R196" s="6">
        <f t="shared" si="72"/>
        <v>-1.0306874728431432E-2</v>
      </c>
      <c r="S196" s="2"/>
      <c r="T196" s="7">
        <v>-172300.9</v>
      </c>
      <c r="U196" s="2"/>
      <c r="V196" s="6">
        <f t="shared" si="73"/>
        <v>-2.6085424829718103E-2</v>
      </c>
      <c r="W196" s="2"/>
      <c r="X196" s="7">
        <f t="shared" si="74"/>
        <v>38716.350000000006</v>
      </c>
      <c r="Y196" s="2"/>
      <c r="Z196" s="6">
        <f t="shared" si="75"/>
        <v>-0.22470196034959775</v>
      </c>
    </row>
    <row r="197" spans="1:26" s="29" customFormat="1" outlineLevel="1" collapsed="1" x14ac:dyDescent="0.3">
      <c r="A197" s="28"/>
      <c r="B197" s="14" t="str">
        <f>CONCATENATE("     ","General                                           ")</f>
        <v xml:space="preserve">     General                                           </v>
      </c>
      <c r="C197" s="14"/>
      <c r="D197" s="1">
        <f>SUM(OSRRefD22_11x_0)</f>
        <v>2740.56</v>
      </c>
      <c r="E197" s="1"/>
      <c r="F197" s="5">
        <f t="shared" ref="F197:F205" si="76">IF(D$12=0,0,D197/D$12)</f>
        <v>1.7289186019033131E-3</v>
      </c>
      <c r="G197" s="1"/>
      <c r="H197" s="1">
        <f>SUM(OSRRefH22_11x_0)</f>
        <v>198.64</v>
      </c>
      <c r="I197" s="1"/>
      <c r="J197" s="5">
        <f t="shared" ref="J197:J205" si="77">IF(H$12=0,0,H197/H$12)</f>
        <v>1.358385553572373E-4</v>
      </c>
      <c r="K197" s="1"/>
      <c r="L197" s="1">
        <f t="shared" ref="L197:L205" si="78">+D197-H197</f>
        <v>2541.92</v>
      </c>
      <c r="M197" s="1"/>
      <c r="N197" s="5">
        <f t="shared" ref="N197:N205" si="79">IF(H197=0,0,L197/H197)</f>
        <v>12.796616995569876</v>
      </c>
      <c r="O197" s="14"/>
      <c r="P197" s="1">
        <f>SUM(OSRRefP22_11x_0)</f>
        <v>35636.1</v>
      </c>
      <c r="Q197" s="1"/>
      <c r="R197" s="5">
        <f t="shared" ref="R197:R205" si="80">IF(P$12=0,0,P197/P$12)</f>
        <v>2.749545651123991E-3</v>
      </c>
      <c r="S197" s="1"/>
      <c r="T197" s="1">
        <f>SUM(OSRRefT22_11x_0)</f>
        <v>17508.22</v>
      </c>
      <c r="U197" s="1"/>
      <c r="V197" s="5">
        <f t="shared" ref="V197:V205" si="81">IF(T$12=0,0,T197/T$12)</f>
        <v>2.6506498614468476E-3</v>
      </c>
      <c r="W197" s="1"/>
      <c r="X197" s="1">
        <f t="shared" ref="X197:X205" si="82">+P197-T197</f>
        <v>18127.879999999997</v>
      </c>
      <c r="Y197" s="1"/>
      <c r="Z197" s="5">
        <f t="shared" ref="Z197:Z205" si="83">IF(T197=0,0,X197/T197)</f>
        <v>1.0353925184856025</v>
      </c>
    </row>
    <row r="198" spans="1:26" s="24" customFormat="1" hidden="1" outlineLevel="2" x14ac:dyDescent="0.3">
      <c r="A198" s="27"/>
      <c r="B198" s="11" t="str">
        <f>CONCATENATE("          ", "6279", " - ", "GENERAL EXPENSE")</f>
        <v xml:space="preserve">          6279 - GENERAL EXPENSE</v>
      </c>
      <c r="C198" s="11"/>
      <c r="D198" s="7">
        <v>2740.56</v>
      </c>
      <c r="E198" s="2"/>
      <c r="F198" s="6">
        <f t="shared" si="76"/>
        <v>1.7289186019033131E-3</v>
      </c>
      <c r="G198" s="2"/>
      <c r="H198" s="7">
        <v>198.64</v>
      </c>
      <c r="I198" s="2"/>
      <c r="J198" s="6">
        <f t="shared" si="77"/>
        <v>1.358385553572373E-4</v>
      </c>
      <c r="K198" s="2"/>
      <c r="L198" s="7">
        <f t="shared" si="78"/>
        <v>2541.92</v>
      </c>
      <c r="M198" s="2"/>
      <c r="N198" s="6">
        <f t="shared" si="79"/>
        <v>12.796616995569876</v>
      </c>
      <c r="O198" s="11"/>
      <c r="P198" s="7">
        <v>35636.1</v>
      </c>
      <c r="Q198" s="2"/>
      <c r="R198" s="6">
        <f t="shared" si="80"/>
        <v>2.749545651123991E-3</v>
      </c>
      <c r="S198" s="2"/>
      <c r="T198" s="7">
        <v>17508.22</v>
      </c>
      <c r="U198" s="2"/>
      <c r="V198" s="6">
        <f t="shared" si="81"/>
        <v>2.6506498614468476E-3</v>
      </c>
      <c r="W198" s="2"/>
      <c r="X198" s="7">
        <f t="shared" si="82"/>
        <v>18127.879999999997</v>
      </c>
      <c r="Y198" s="2"/>
      <c r="Z198" s="6">
        <f t="shared" si="83"/>
        <v>1.0353925184856025</v>
      </c>
    </row>
    <row r="199" spans="1:26" s="29" customFormat="1" outlineLevel="1" collapsed="1" x14ac:dyDescent="0.3">
      <c r="A199" s="28"/>
      <c r="B199" s="14" t="str">
        <f>CONCATENATE("     ","Insurance                                         ")</f>
        <v xml:space="preserve">     Insurance                                         </v>
      </c>
      <c r="C199" s="14"/>
      <c r="D199" s="1">
        <f>SUM(OSRRefD22_12x_0)</f>
        <v>11626.43</v>
      </c>
      <c r="E199" s="1"/>
      <c r="F199" s="5">
        <f t="shared" si="76"/>
        <v>7.3346874728985089E-3</v>
      </c>
      <c r="G199" s="1"/>
      <c r="H199" s="1">
        <f>SUM(OSRRefH22_12x_0)</f>
        <v>8563.32</v>
      </c>
      <c r="I199" s="1"/>
      <c r="J199" s="5">
        <f t="shared" si="77"/>
        <v>5.8559656557679082E-3</v>
      </c>
      <c r="K199" s="1"/>
      <c r="L199" s="1">
        <f t="shared" si="78"/>
        <v>3063.1100000000006</v>
      </c>
      <c r="M199" s="1"/>
      <c r="N199" s="5">
        <f t="shared" si="79"/>
        <v>0.35770121868621058</v>
      </c>
      <c r="O199" s="14"/>
      <c r="P199" s="1">
        <f>SUM(OSRRefP22_12x_0)</f>
        <v>88268.02</v>
      </c>
      <c r="Q199" s="1"/>
      <c r="R199" s="5">
        <f t="shared" si="80"/>
        <v>6.8104239948907292E-3</v>
      </c>
      <c r="S199" s="1"/>
      <c r="T199" s="1">
        <f>SUM(OSRRefT22_12x_0)</f>
        <v>66055.240000000005</v>
      </c>
      <c r="U199" s="1"/>
      <c r="V199" s="5">
        <f t="shared" si="81"/>
        <v>1.0000406252253985E-2</v>
      </c>
      <c r="W199" s="1"/>
      <c r="X199" s="1">
        <f t="shared" si="82"/>
        <v>22212.78</v>
      </c>
      <c r="Y199" s="1"/>
      <c r="Z199" s="5">
        <f t="shared" si="83"/>
        <v>0.3362758200560621</v>
      </c>
    </row>
    <row r="200" spans="1:26" s="24" customFormat="1" hidden="1" outlineLevel="2" x14ac:dyDescent="0.3">
      <c r="A200" s="27"/>
      <c r="B200" s="11" t="str">
        <f>CONCATENATE("          ", "6314", " - ", "LIABILITY INSURANCE")</f>
        <v xml:space="preserve">          6314 - LIABILITY INSURANCE</v>
      </c>
      <c r="C200" s="11"/>
      <c r="D200" s="7">
        <v>11626.43</v>
      </c>
      <c r="E200" s="2"/>
      <c r="F200" s="6">
        <f t="shared" si="76"/>
        <v>7.3346874728985089E-3</v>
      </c>
      <c r="G200" s="2"/>
      <c r="H200" s="7">
        <v>8563.32</v>
      </c>
      <c r="I200" s="2"/>
      <c r="J200" s="6">
        <f t="shared" si="77"/>
        <v>5.8559656557679082E-3</v>
      </c>
      <c r="K200" s="2"/>
      <c r="L200" s="7">
        <f t="shared" si="78"/>
        <v>3063.1100000000006</v>
      </c>
      <c r="M200" s="2"/>
      <c r="N200" s="6">
        <f t="shared" si="79"/>
        <v>0.35770121868621058</v>
      </c>
      <c r="O200" s="11"/>
      <c r="P200" s="7">
        <v>88268.02</v>
      </c>
      <c r="Q200" s="2"/>
      <c r="R200" s="6">
        <f t="shared" si="80"/>
        <v>6.8104239948907292E-3</v>
      </c>
      <c r="S200" s="2"/>
      <c r="T200" s="7">
        <v>66055.240000000005</v>
      </c>
      <c r="U200" s="2"/>
      <c r="V200" s="6">
        <f t="shared" si="81"/>
        <v>1.0000406252253985E-2</v>
      </c>
      <c r="W200" s="2"/>
      <c r="X200" s="7">
        <f t="shared" si="82"/>
        <v>22212.78</v>
      </c>
      <c r="Y200" s="2"/>
      <c r="Z200" s="6">
        <f t="shared" si="83"/>
        <v>0.3362758200560621</v>
      </c>
    </row>
    <row r="201" spans="1:26" s="29" customFormat="1" outlineLevel="1" collapsed="1" x14ac:dyDescent="0.3">
      <c r="A201" s="28"/>
      <c r="B201" s="14" t="str">
        <f>CONCATENATE("     ","Interest                                          ")</f>
        <v xml:space="preserve">     Interest                                          </v>
      </c>
      <c r="C201" s="14"/>
      <c r="D201" s="1">
        <f>SUM(OSRRefD22_13x_0)</f>
        <v>11158</v>
      </c>
      <c r="E201" s="1"/>
      <c r="F201" s="5">
        <f t="shared" si="76"/>
        <v>7.0391721983963746E-3</v>
      </c>
      <c r="G201" s="1"/>
      <c r="H201" s="1">
        <f>SUM(OSRRefH22_13x_0)</f>
        <v>11554</v>
      </c>
      <c r="I201" s="1"/>
      <c r="J201" s="5">
        <f t="shared" si="77"/>
        <v>7.9011209655533623E-3</v>
      </c>
      <c r="K201" s="1"/>
      <c r="L201" s="1">
        <f t="shared" si="78"/>
        <v>-396</v>
      </c>
      <c r="M201" s="1"/>
      <c r="N201" s="5">
        <f t="shared" si="79"/>
        <v>-3.4273844555997926E-2</v>
      </c>
      <c r="O201" s="14"/>
      <c r="P201" s="1">
        <f>SUM(OSRRefP22_13x_0)</f>
        <v>77316</v>
      </c>
      <c r="Q201" s="1"/>
      <c r="R201" s="5">
        <f t="shared" si="80"/>
        <v>5.9654078746636842E-3</v>
      </c>
      <c r="S201" s="1"/>
      <c r="T201" s="1">
        <f>SUM(OSRRefT22_13x_0)</f>
        <v>80129</v>
      </c>
      <c r="U201" s="1"/>
      <c r="V201" s="5">
        <f t="shared" si="81"/>
        <v>1.2131097435825825E-2</v>
      </c>
      <c r="W201" s="1"/>
      <c r="X201" s="1">
        <f t="shared" si="82"/>
        <v>-2813</v>
      </c>
      <c r="Y201" s="1"/>
      <c r="Z201" s="5">
        <f t="shared" si="83"/>
        <v>-3.5105891749553843E-2</v>
      </c>
    </row>
    <row r="202" spans="1:26" s="24" customFormat="1" hidden="1" outlineLevel="2" x14ac:dyDescent="0.3">
      <c r="A202" s="27"/>
      <c r="B202" s="11" t="str">
        <f>CONCATENATE("          ", "6401", " - ", "INTEREST EXPENSE")</f>
        <v xml:space="preserve">          6401 - INTEREST EXPENSE</v>
      </c>
      <c r="C202" s="11"/>
      <c r="D202" s="7">
        <v>11158</v>
      </c>
      <c r="E202" s="2"/>
      <c r="F202" s="6">
        <f t="shared" si="76"/>
        <v>7.0391721983963746E-3</v>
      </c>
      <c r="G202" s="2"/>
      <c r="H202" s="7">
        <v>11554</v>
      </c>
      <c r="I202" s="2"/>
      <c r="J202" s="6">
        <f t="shared" si="77"/>
        <v>7.9011209655533623E-3</v>
      </c>
      <c r="K202" s="2"/>
      <c r="L202" s="7">
        <f t="shared" si="78"/>
        <v>-396</v>
      </c>
      <c r="M202" s="2"/>
      <c r="N202" s="6">
        <f t="shared" si="79"/>
        <v>-3.4273844555997926E-2</v>
      </c>
      <c r="O202" s="11"/>
      <c r="P202" s="7">
        <v>77316</v>
      </c>
      <c r="Q202" s="2"/>
      <c r="R202" s="6">
        <f t="shared" si="80"/>
        <v>5.9654078746636842E-3</v>
      </c>
      <c r="S202" s="2"/>
      <c r="T202" s="7">
        <v>80129</v>
      </c>
      <c r="U202" s="2"/>
      <c r="V202" s="6">
        <f t="shared" si="81"/>
        <v>1.2131097435825825E-2</v>
      </c>
      <c r="W202" s="2"/>
      <c r="X202" s="7">
        <f t="shared" si="82"/>
        <v>-2813</v>
      </c>
      <c r="Y202" s="2"/>
      <c r="Z202" s="6">
        <f t="shared" si="83"/>
        <v>-3.5105891749553843E-2</v>
      </c>
    </row>
    <row r="203" spans="1:26" s="29" customFormat="1" outlineLevel="1" collapsed="1" x14ac:dyDescent="0.3">
      <c r="A203" s="28"/>
      <c r="B203" s="14" t="str">
        <f>CONCATENATE("     ","Inventory Adjustment                              ")</f>
        <v xml:space="preserve">     Inventory Adjustment                              </v>
      </c>
      <c r="C203" s="14"/>
      <c r="D203" s="1">
        <f>SUM(OSRRefD22_14x_0)</f>
        <v>6070</v>
      </c>
      <c r="E203" s="1"/>
      <c r="F203" s="5">
        <f t="shared" si="76"/>
        <v>3.8293399573638637E-3</v>
      </c>
      <c r="G203" s="1"/>
      <c r="H203" s="1">
        <f>SUM(OSRRefH22_14x_0)</f>
        <v>3350</v>
      </c>
      <c r="I203" s="1"/>
      <c r="J203" s="5">
        <f t="shared" si="77"/>
        <v>2.2908737436908222E-3</v>
      </c>
      <c r="K203" s="1"/>
      <c r="L203" s="1">
        <f t="shared" si="78"/>
        <v>2720</v>
      </c>
      <c r="M203" s="1"/>
      <c r="N203" s="5">
        <f t="shared" si="79"/>
        <v>0.81194029850746263</v>
      </c>
      <c r="O203" s="14"/>
      <c r="P203" s="1">
        <f>SUM(OSRRefP22_14x_0)</f>
        <v>46310</v>
      </c>
      <c r="Q203" s="1"/>
      <c r="R203" s="5">
        <f t="shared" si="80"/>
        <v>3.573103092188877E-3</v>
      </c>
      <c r="S203" s="1"/>
      <c r="T203" s="1">
        <f>SUM(OSRRefT22_14x_0)</f>
        <v>28450</v>
      </c>
      <c r="U203" s="1"/>
      <c r="V203" s="5">
        <f t="shared" si="81"/>
        <v>4.3071762039866308E-3</v>
      </c>
      <c r="W203" s="1"/>
      <c r="X203" s="1">
        <f t="shared" si="82"/>
        <v>17860</v>
      </c>
      <c r="Y203" s="1"/>
      <c r="Z203" s="5">
        <f t="shared" si="83"/>
        <v>0.62776801405975391</v>
      </c>
    </row>
    <row r="204" spans="1:26" s="24" customFormat="1" hidden="1" outlineLevel="2" x14ac:dyDescent="0.3">
      <c r="A204" s="27"/>
      <c r="B204" s="11" t="str">
        <f>CONCATENATE("          ", "6408", " - ", "INVENTORY ADJUSTMENT")</f>
        <v xml:space="preserve">          6408 - INVENTORY ADJUSTMENT</v>
      </c>
      <c r="C204" s="11"/>
      <c r="D204" s="7">
        <v>6070</v>
      </c>
      <c r="E204" s="2"/>
      <c r="F204" s="6">
        <f t="shared" si="76"/>
        <v>3.8293399573638637E-3</v>
      </c>
      <c r="G204" s="2"/>
      <c r="H204" s="7">
        <v>3350</v>
      </c>
      <c r="I204" s="2"/>
      <c r="J204" s="6">
        <f t="shared" si="77"/>
        <v>2.2908737436908222E-3</v>
      </c>
      <c r="K204" s="2"/>
      <c r="L204" s="7">
        <f t="shared" si="78"/>
        <v>2720</v>
      </c>
      <c r="M204" s="2"/>
      <c r="N204" s="6">
        <f t="shared" si="79"/>
        <v>0.81194029850746263</v>
      </c>
      <c r="O204" s="11"/>
      <c r="P204" s="7">
        <v>46310</v>
      </c>
      <c r="Q204" s="2"/>
      <c r="R204" s="6">
        <f t="shared" si="80"/>
        <v>3.573103092188877E-3</v>
      </c>
      <c r="S204" s="2"/>
      <c r="T204" s="7">
        <v>28450</v>
      </c>
      <c r="U204" s="2"/>
      <c r="V204" s="6">
        <f t="shared" si="81"/>
        <v>4.3071762039866308E-3</v>
      </c>
      <c r="W204" s="2"/>
      <c r="X204" s="7">
        <f t="shared" si="82"/>
        <v>17860</v>
      </c>
      <c r="Y204" s="2"/>
      <c r="Z204" s="6">
        <f t="shared" si="83"/>
        <v>0.62776801405975391</v>
      </c>
    </row>
    <row r="205" spans="1:26" s="24" customFormat="1" hidden="1" outlineLevel="2" x14ac:dyDescent="0.3">
      <c r="A205" s="27"/>
      <c r="B205" s="11" t="str">
        <f>CONCATENATE("          ", "7741", " - ", "INV. SHRINKAGE-LOGO GIFTS")</f>
        <v xml:space="preserve">          7741 - INV. SHRINKAGE-LOGO GIFTS</v>
      </c>
      <c r="C205" s="11"/>
      <c r="D205" s="7"/>
      <c r="E205" s="2"/>
      <c r="F205" s="6">
        <f t="shared" si="76"/>
        <v>0</v>
      </c>
      <c r="G205" s="2"/>
      <c r="H205" s="7"/>
      <c r="I205" s="2"/>
      <c r="J205" s="6">
        <f t="shared" si="77"/>
        <v>0</v>
      </c>
      <c r="K205" s="2"/>
      <c r="L205" s="7">
        <f t="shared" si="78"/>
        <v>0</v>
      </c>
      <c r="M205" s="2"/>
      <c r="N205" s="6">
        <f t="shared" si="79"/>
        <v>0</v>
      </c>
      <c r="O205" s="11"/>
      <c r="P205" s="7"/>
      <c r="Q205" s="2"/>
      <c r="R205" s="6">
        <f t="shared" si="80"/>
        <v>0</v>
      </c>
      <c r="S205" s="2"/>
      <c r="T205" s="7">
        <v>0</v>
      </c>
      <c r="U205" s="2"/>
      <c r="V205" s="6">
        <f t="shared" si="81"/>
        <v>0</v>
      </c>
      <c r="W205" s="2"/>
      <c r="X205" s="7">
        <f t="shared" si="82"/>
        <v>0</v>
      </c>
      <c r="Y205" s="2"/>
      <c r="Z205" s="6">
        <f t="shared" si="83"/>
        <v>0</v>
      </c>
    </row>
    <row r="206" spans="1:26" s="29" customFormat="1" outlineLevel="1" collapsed="1" x14ac:dyDescent="0.3">
      <c r="A206" s="28"/>
      <c r="B206" s="14" t="str">
        <f>CONCATENATE("     ","Professional Services                             ")</f>
        <v xml:space="preserve">     Professional Services                             </v>
      </c>
      <c r="C206" s="14"/>
      <c r="D206" s="1">
        <f>SUM(OSRRefD22_15x_0)</f>
        <v>0</v>
      </c>
      <c r="E206" s="1"/>
      <c r="F206" s="5">
        <f t="shared" ref="F206:F216" si="84">IF(D$12=0,0,D206/D$12)</f>
        <v>0</v>
      </c>
      <c r="G206" s="1"/>
      <c r="H206" s="1">
        <f>SUM(OSRRefH22_15x_0)</f>
        <v>0</v>
      </c>
      <c r="I206" s="1"/>
      <c r="J206" s="5">
        <f t="shared" ref="J206:J216" si="85">IF(H$12=0,0,H206/H$12)</f>
        <v>0</v>
      </c>
      <c r="K206" s="1"/>
      <c r="L206" s="1">
        <f t="shared" ref="L206:L216" si="86">+D206-H206</f>
        <v>0</v>
      </c>
      <c r="M206" s="1"/>
      <c r="N206" s="5">
        <f t="shared" ref="N206:N216" si="87">IF(H206=0,0,L206/H206)</f>
        <v>0</v>
      </c>
      <c r="O206" s="14"/>
      <c r="P206" s="1">
        <f>SUM(OSRRefP22_15x_0)</f>
        <v>8186.53</v>
      </c>
      <c r="Q206" s="1"/>
      <c r="R206" s="5">
        <f t="shared" ref="R206:R216" si="88">IF(P$12=0,0,P206/P$12)</f>
        <v>6.3164145232772633E-4</v>
      </c>
      <c r="S206" s="1"/>
      <c r="T206" s="1">
        <f>SUM(OSRRefT22_15x_0)</f>
        <v>0</v>
      </c>
      <c r="U206" s="1"/>
      <c r="V206" s="5">
        <f t="shared" ref="V206:V216" si="89">IF(T$12=0,0,T206/T$12)</f>
        <v>0</v>
      </c>
      <c r="W206" s="1"/>
      <c r="X206" s="1">
        <f t="shared" ref="X206:X216" si="90">+P206-T206</f>
        <v>8186.53</v>
      </c>
      <c r="Y206" s="1"/>
      <c r="Z206" s="5">
        <f t="shared" ref="Z206:Z216" si="91">IF(T206=0,0,X206/T206)</f>
        <v>0</v>
      </c>
    </row>
    <row r="207" spans="1:26" s="24" customFormat="1" hidden="1" outlineLevel="2" x14ac:dyDescent="0.3">
      <c r="A207" s="27"/>
      <c r="B207" s="11" t="str">
        <f>CONCATENATE("          ", "6336", " - ", "PROFESSIONAL SERVICES")</f>
        <v xml:space="preserve">          6336 - PROFESSIONAL SERVICES</v>
      </c>
      <c r="C207" s="11"/>
      <c r="D207" s="7"/>
      <c r="E207" s="2"/>
      <c r="F207" s="6">
        <f t="shared" si="84"/>
        <v>0</v>
      </c>
      <c r="G207" s="2"/>
      <c r="H207" s="7"/>
      <c r="I207" s="2"/>
      <c r="J207" s="6">
        <f t="shared" si="85"/>
        <v>0</v>
      </c>
      <c r="K207" s="2"/>
      <c r="L207" s="7">
        <f t="shared" si="86"/>
        <v>0</v>
      </c>
      <c r="M207" s="2"/>
      <c r="N207" s="6">
        <f t="shared" si="87"/>
        <v>0</v>
      </c>
      <c r="O207" s="11"/>
      <c r="P207" s="7">
        <v>8186.53</v>
      </c>
      <c r="Q207" s="2"/>
      <c r="R207" s="6">
        <f t="shared" si="88"/>
        <v>6.3164145232772633E-4</v>
      </c>
      <c r="S207" s="2"/>
      <c r="T207" s="7"/>
      <c r="U207" s="2"/>
      <c r="V207" s="6">
        <f t="shared" si="89"/>
        <v>0</v>
      </c>
      <c r="W207" s="2"/>
      <c r="X207" s="7">
        <f t="shared" si="90"/>
        <v>8186.53</v>
      </c>
      <c r="Y207" s="2"/>
      <c r="Z207" s="6">
        <f t="shared" si="91"/>
        <v>0</v>
      </c>
    </row>
    <row r="208" spans="1:26" s="29" customFormat="1" outlineLevel="1" collapsed="1" x14ac:dyDescent="0.3">
      <c r="A208" s="28"/>
      <c r="B208" s="14" t="str">
        <f>CONCATENATE("     ","R/H Commissions                                   ")</f>
        <v xml:space="preserve">     R/H Commissions                                   </v>
      </c>
      <c r="C208" s="14"/>
      <c r="D208" s="1">
        <f>SUM(OSRRefD22_16x_0)</f>
        <v>49958.66</v>
      </c>
      <c r="E208" s="1"/>
      <c r="F208" s="5">
        <f t="shared" si="84"/>
        <v>3.1517082859037197E-2</v>
      </c>
      <c r="G208" s="1"/>
      <c r="H208" s="1">
        <f>SUM(OSRRefH22_16x_0)</f>
        <v>-29103.13</v>
      </c>
      <c r="I208" s="1"/>
      <c r="J208" s="5">
        <f t="shared" si="85"/>
        <v>-1.9901969067528561E-2</v>
      </c>
      <c r="K208" s="1"/>
      <c r="L208" s="1">
        <f t="shared" si="86"/>
        <v>79061.790000000008</v>
      </c>
      <c r="M208" s="1"/>
      <c r="N208" s="5">
        <f t="shared" si="87"/>
        <v>-2.7166078012914765</v>
      </c>
      <c r="O208" s="14"/>
      <c r="P208" s="1">
        <f>SUM(OSRRefP22_16x_0)</f>
        <v>499627.4</v>
      </c>
      <c r="Q208" s="1"/>
      <c r="R208" s="5">
        <f t="shared" si="88"/>
        <v>3.8549345883875812E-2</v>
      </c>
      <c r="S208" s="1"/>
      <c r="T208" s="1">
        <f>SUM(OSRRefT22_16x_0)</f>
        <v>45913.36</v>
      </c>
      <c r="U208" s="1"/>
      <c r="V208" s="5">
        <f t="shared" si="89"/>
        <v>6.951034503939248E-3</v>
      </c>
      <c r="W208" s="1"/>
      <c r="X208" s="1">
        <f t="shared" si="90"/>
        <v>453714.04000000004</v>
      </c>
      <c r="Y208" s="1"/>
      <c r="Z208" s="5">
        <f t="shared" si="91"/>
        <v>9.8819611546617381</v>
      </c>
    </row>
    <row r="209" spans="1:26" s="24" customFormat="1" hidden="1" outlineLevel="2" x14ac:dyDescent="0.3">
      <c r="A209" s="27"/>
      <c r="B209" s="11" t="str">
        <f>CONCATENATE("          ", "6387", " - ", "COMMISSION DUE HOUSING")</f>
        <v xml:space="preserve">          6387 - COMMISSION DUE HOUSING</v>
      </c>
      <c r="C209" s="11"/>
      <c r="D209" s="7">
        <v>49958.66</v>
      </c>
      <c r="E209" s="2"/>
      <c r="F209" s="6">
        <f t="shared" si="84"/>
        <v>3.1517082859037197E-2</v>
      </c>
      <c r="G209" s="2"/>
      <c r="H209" s="7">
        <v>-29103.13</v>
      </c>
      <c r="I209" s="2"/>
      <c r="J209" s="6">
        <f t="shared" si="85"/>
        <v>-1.9901969067528561E-2</v>
      </c>
      <c r="K209" s="2"/>
      <c r="L209" s="7">
        <f t="shared" si="86"/>
        <v>79061.790000000008</v>
      </c>
      <c r="M209" s="2"/>
      <c r="N209" s="6">
        <f t="shared" si="87"/>
        <v>-2.7166078012914765</v>
      </c>
      <c r="O209" s="11"/>
      <c r="P209" s="7">
        <v>499627.4</v>
      </c>
      <c r="Q209" s="2"/>
      <c r="R209" s="6">
        <f t="shared" si="88"/>
        <v>3.8549345883875812E-2</v>
      </c>
      <c r="S209" s="2"/>
      <c r="T209" s="7">
        <v>45913.36</v>
      </c>
      <c r="U209" s="2"/>
      <c r="V209" s="6">
        <f t="shared" si="89"/>
        <v>6.951034503939248E-3</v>
      </c>
      <c r="W209" s="2"/>
      <c r="X209" s="7">
        <f t="shared" si="90"/>
        <v>453714.04000000004</v>
      </c>
      <c r="Y209" s="2"/>
      <c r="Z209" s="6">
        <f t="shared" si="91"/>
        <v>9.8819611546617381</v>
      </c>
    </row>
    <row r="210" spans="1:26" s="29" customFormat="1" outlineLevel="1" collapsed="1" x14ac:dyDescent="0.3">
      <c r="A210" s="28"/>
      <c r="B210" s="14" t="str">
        <f>CONCATENATE("     ","Rent                                              ")</f>
        <v xml:space="preserve">     Rent                                              </v>
      </c>
      <c r="C210" s="14"/>
      <c r="D210" s="1">
        <f>SUM(OSRRefD22_17x_0)</f>
        <v>8750</v>
      </c>
      <c r="E210" s="1"/>
      <c r="F210" s="5">
        <f t="shared" si="84"/>
        <v>5.5200534805492267E-3</v>
      </c>
      <c r="G210" s="1"/>
      <c r="H210" s="1">
        <f>SUM(OSRRefH22_17x_0)</f>
        <v>6900</v>
      </c>
      <c r="I210" s="1"/>
      <c r="J210" s="5">
        <f t="shared" si="85"/>
        <v>4.7185160690945294E-3</v>
      </c>
      <c r="K210" s="1"/>
      <c r="L210" s="1">
        <f t="shared" si="86"/>
        <v>1850</v>
      </c>
      <c r="M210" s="1"/>
      <c r="N210" s="5">
        <f t="shared" si="87"/>
        <v>0.26811594202898553</v>
      </c>
      <c r="O210" s="14"/>
      <c r="P210" s="1">
        <f>SUM(OSRRefP22_17x_0)</f>
        <v>61250</v>
      </c>
      <c r="Q210" s="1"/>
      <c r="R210" s="5">
        <f t="shared" si="88"/>
        <v>4.7258165492673008E-3</v>
      </c>
      <c r="S210" s="1"/>
      <c r="T210" s="1">
        <f>SUM(OSRRefT22_17x_0)</f>
        <v>59400</v>
      </c>
      <c r="U210" s="1"/>
      <c r="V210" s="5">
        <f t="shared" si="89"/>
        <v>8.9928388933850911E-3</v>
      </c>
      <c r="W210" s="1"/>
      <c r="X210" s="1">
        <f t="shared" si="90"/>
        <v>1850</v>
      </c>
      <c r="Y210" s="1"/>
      <c r="Z210" s="5">
        <f t="shared" si="91"/>
        <v>3.1144781144781145E-2</v>
      </c>
    </row>
    <row r="211" spans="1:26" s="24" customFormat="1" hidden="1" outlineLevel="2" x14ac:dyDescent="0.3">
      <c r="A211" s="27"/>
      <c r="B211" s="11" t="str">
        <f>CONCATENATE("          ", "6273", " - ", "RENT")</f>
        <v xml:space="preserve">          6273 - RENT</v>
      </c>
      <c r="C211" s="11"/>
      <c r="D211" s="7">
        <v>8750</v>
      </c>
      <c r="E211" s="2"/>
      <c r="F211" s="6">
        <f t="shared" si="84"/>
        <v>5.5200534805492267E-3</v>
      </c>
      <c r="G211" s="2"/>
      <c r="H211" s="7">
        <v>6900</v>
      </c>
      <c r="I211" s="2"/>
      <c r="J211" s="6">
        <f t="shared" si="85"/>
        <v>4.7185160690945294E-3</v>
      </c>
      <c r="K211" s="2"/>
      <c r="L211" s="7">
        <f t="shared" si="86"/>
        <v>1850</v>
      </c>
      <c r="M211" s="2"/>
      <c r="N211" s="6">
        <f t="shared" si="87"/>
        <v>0.26811594202898553</v>
      </c>
      <c r="O211" s="11"/>
      <c r="P211" s="7">
        <v>61250</v>
      </c>
      <c r="Q211" s="2"/>
      <c r="R211" s="6">
        <f t="shared" si="88"/>
        <v>4.7258165492673008E-3</v>
      </c>
      <c r="S211" s="2"/>
      <c r="T211" s="7">
        <v>59400</v>
      </c>
      <c r="U211" s="2"/>
      <c r="V211" s="6">
        <f t="shared" si="89"/>
        <v>8.9928388933850911E-3</v>
      </c>
      <c r="W211" s="2"/>
      <c r="X211" s="7">
        <f t="shared" si="90"/>
        <v>1850</v>
      </c>
      <c r="Y211" s="2"/>
      <c r="Z211" s="6">
        <f t="shared" si="91"/>
        <v>3.1144781144781145E-2</v>
      </c>
    </row>
    <row r="212" spans="1:26" s="29" customFormat="1" outlineLevel="1" collapsed="1" x14ac:dyDescent="0.3">
      <c r="A212" s="28"/>
      <c r="B212" s="14" t="str">
        <f>CONCATENATE("     ","Repair and Maintenance                            ")</f>
        <v xml:space="preserve">     Repair and Maintenance                            </v>
      </c>
      <c r="C212" s="14"/>
      <c r="D212" s="1">
        <f>SUM(OSRRefD22_18x_0)</f>
        <v>21476.55</v>
      </c>
      <c r="E212" s="1"/>
      <c r="F212" s="5">
        <f t="shared" si="84"/>
        <v>1.3548766237450228E-2</v>
      </c>
      <c r="G212" s="1"/>
      <c r="H212" s="1">
        <f>SUM(OSRRefH22_18x_0)</f>
        <v>10131.150000000001</v>
      </c>
      <c r="I212" s="1"/>
      <c r="J212" s="5">
        <f t="shared" si="85"/>
        <v>6.9281150831024714E-3</v>
      </c>
      <c r="K212" s="1"/>
      <c r="L212" s="1">
        <f t="shared" si="86"/>
        <v>11345.399999999998</v>
      </c>
      <c r="M212" s="1"/>
      <c r="N212" s="5">
        <f t="shared" si="87"/>
        <v>1.1198531262492408</v>
      </c>
      <c r="O212" s="14"/>
      <c r="P212" s="1">
        <f>SUM(OSRRefP22_18x_0)</f>
        <v>323645.82</v>
      </c>
      <c r="Q212" s="1"/>
      <c r="R212" s="5">
        <f t="shared" si="88"/>
        <v>2.4971277914403039E-2</v>
      </c>
      <c r="S212" s="1"/>
      <c r="T212" s="1">
        <f>SUM(OSRRefT22_18x_0)</f>
        <v>276473.99</v>
      </c>
      <c r="U212" s="1"/>
      <c r="V212" s="5">
        <f t="shared" si="89"/>
        <v>4.1856667513154221E-2</v>
      </c>
      <c r="W212" s="1"/>
      <c r="X212" s="1">
        <f t="shared" si="90"/>
        <v>47171.830000000016</v>
      </c>
      <c r="Y212" s="1"/>
      <c r="Z212" s="5">
        <f t="shared" si="91"/>
        <v>0.17061941342113238</v>
      </c>
    </row>
    <row r="213" spans="1:26" s="24" customFormat="1" hidden="1" outlineLevel="2" x14ac:dyDescent="0.3">
      <c r="A213" s="27"/>
      <c r="B213" s="11" t="str">
        <f>CONCATENATE("          ", "6371", " - ", "COMPUTER SOFTWARE MAINTENANCE")</f>
        <v xml:space="preserve">          6371 - COMPUTER SOFTWARE MAINTENANCE</v>
      </c>
      <c r="C213" s="11"/>
      <c r="D213" s="7">
        <v>3981.09</v>
      </c>
      <c r="E213" s="2"/>
      <c r="F213" s="6">
        <f t="shared" si="84"/>
        <v>2.5115233955291111E-3</v>
      </c>
      <c r="G213" s="2"/>
      <c r="H213" s="7">
        <v>3500</v>
      </c>
      <c r="I213" s="2"/>
      <c r="J213" s="6">
        <f t="shared" si="85"/>
        <v>2.393450179975486E-3</v>
      </c>
      <c r="K213" s="2"/>
      <c r="L213" s="7">
        <f t="shared" si="86"/>
        <v>481.09000000000015</v>
      </c>
      <c r="M213" s="2"/>
      <c r="N213" s="6">
        <f t="shared" si="87"/>
        <v>0.13745428571428575</v>
      </c>
      <c r="O213" s="11"/>
      <c r="P213" s="7">
        <v>93828.17</v>
      </c>
      <c r="Q213" s="2"/>
      <c r="R213" s="6">
        <f t="shared" si="88"/>
        <v>7.2394239767096438E-3</v>
      </c>
      <c r="S213" s="2"/>
      <c r="T213" s="7">
        <v>65436.47</v>
      </c>
      <c r="U213" s="2"/>
      <c r="V213" s="6">
        <f t="shared" si="89"/>
        <v>9.9067278192226729E-3</v>
      </c>
      <c r="W213" s="2"/>
      <c r="X213" s="7">
        <f t="shared" si="90"/>
        <v>28391.699999999997</v>
      </c>
      <c r="Y213" s="2"/>
      <c r="Z213" s="6">
        <f t="shared" si="91"/>
        <v>0.43388190102552898</v>
      </c>
    </row>
    <row r="214" spans="1:26" s="24" customFormat="1" hidden="1" outlineLevel="2" x14ac:dyDescent="0.3">
      <c r="A214" s="27"/>
      <c r="B214" s="11" t="str">
        <f>CONCATENATE("          ", "6372", " - ", "COMPUTER HARDWARE MAINTENANCE")</f>
        <v xml:space="preserve">          6372 - COMPUTER HARDWARE MAINTENANCE</v>
      </c>
      <c r="C214" s="11"/>
      <c r="D214" s="7">
        <v>1555.65</v>
      </c>
      <c r="E214" s="2"/>
      <c r="F214" s="6">
        <f t="shared" si="84"/>
        <v>9.8140242251616066E-4</v>
      </c>
      <c r="G214" s="2"/>
      <c r="H214" s="7"/>
      <c r="I214" s="2"/>
      <c r="J214" s="6">
        <f t="shared" si="85"/>
        <v>0</v>
      </c>
      <c r="K214" s="2"/>
      <c r="L214" s="7">
        <f t="shared" si="86"/>
        <v>1555.65</v>
      </c>
      <c r="M214" s="2"/>
      <c r="N214" s="6">
        <f t="shared" si="87"/>
        <v>0</v>
      </c>
      <c r="O214" s="11"/>
      <c r="P214" s="7">
        <v>1555.65</v>
      </c>
      <c r="Q214" s="2"/>
      <c r="R214" s="6">
        <f t="shared" si="88"/>
        <v>1.2002802473253351E-4</v>
      </c>
      <c r="S214" s="2"/>
      <c r="T214" s="7">
        <v>0</v>
      </c>
      <c r="U214" s="2"/>
      <c r="V214" s="6">
        <f t="shared" si="89"/>
        <v>0</v>
      </c>
      <c r="W214" s="2"/>
      <c r="X214" s="7">
        <f t="shared" si="90"/>
        <v>1555.65</v>
      </c>
      <c r="Y214" s="2"/>
      <c r="Z214" s="6">
        <f t="shared" si="91"/>
        <v>0</v>
      </c>
    </row>
    <row r="215" spans="1:26" s="24" customFormat="1" hidden="1" outlineLevel="2" x14ac:dyDescent="0.3">
      <c r="A215" s="27"/>
      <c r="B215" s="11" t="str">
        <f>CONCATENATE("          ", "6373", " - ", "MAINTENANCE CONTRACTS")</f>
        <v xml:space="preserve">          6373 - MAINTENANCE CONTRACTS</v>
      </c>
      <c r="C215" s="11"/>
      <c r="D215" s="7">
        <v>4151.88</v>
      </c>
      <c r="E215" s="2"/>
      <c r="F215" s="6">
        <f t="shared" si="84"/>
        <v>2.6192685308368828E-3</v>
      </c>
      <c r="G215" s="2"/>
      <c r="H215" s="7">
        <v>1127.94</v>
      </c>
      <c r="I215" s="2"/>
      <c r="J215" s="6">
        <f t="shared" si="85"/>
        <v>7.7133377028615715E-4</v>
      </c>
      <c r="K215" s="2"/>
      <c r="L215" s="7">
        <f t="shared" si="86"/>
        <v>3023.94</v>
      </c>
      <c r="M215" s="2"/>
      <c r="N215" s="6">
        <f t="shared" si="87"/>
        <v>2.6809404755572106</v>
      </c>
      <c r="O215" s="11"/>
      <c r="P215" s="7">
        <v>153164.69</v>
      </c>
      <c r="Q215" s="2"/>
      <c r="R215" s="6">
        <f t="shared" si="88"/>
        <v>1.1817603702292179E-2</v>
      </c>
      <c r="S215" s="2"/>
      <c r="T215" s="7">
        <v>175361.03</v>
      </c>
      <c r="U215" s="2"/>
      <c r="V215" s="6">
        <f t="shared" si="89"/>
        <v>2.6548711969159425E-2</v>
      </c>
      <c r="W215" s="2"/>
      <c r="X215" s="7">
        <f t="shared" si="90"/>
        <v>-22196.339999999997</v>
      </c>
      <c r="Y215" s="2"/>
      <c r="Z215" s="6">
        <f t="shared" si="91"/>
        <v>-0.12657510052261894</v>
      </c>
    </row>
    <row r="216" spans="1:26" s="24" customFormat="1" hidden="1" outlineLevel="2" x14ac:dyDescent="0.3">
      <c r="A216" s="27"/>
      <c r="B216" s="11" t="str">
        <f>CONCATENATE("          ", "6375", " - ", "OUTSIDE REPAIRS &amp; MAINTENANCE")</f>
        <v xml:space="preserve">          6375 - OUTSIDE REPAIRS &amp; MAINTENANCE</v>
      </c>
      <c r="C216" s="11"/>
      <c r="D216" s="7">
        <v>11787.93</v>
      </c>
      <c r="E216" s="2"/>
      <c r="F216" s="6">
        <f t="shared" si="84"/>
        <v>7.4365718885680745E-3</v>
      </c>
      <c r="G216" s="2"/>
      <c r="H216" s="7">
        <v>5503.21</v>
      </c>
      <c r="I216" s="2"/>
      <c r="J216" s="6">
        <f t="shared" si="85"/>
        <v>3.7633311328408268E-3</v>
      </c>
      <c r="K216" s="2"/>
      <c r="L216" s="7">
        <f t="shared" si="86"/>
        <v>6284.72</v>
      </c>
      <c r="M216" s="2"/>
      <c r="N216" s="6">
        <f t="shared" si="87"/>
        <v>1.1420098451630958</v>
      </c>
      <c r="O216" s="11"/>
      <c r="P216" s="7">
        <v>75097.31</v>
      </c>
      <c r="Q216" s="2"/>
      <c r="R216" s="6">
        <f t="shared" si="88"/>
        <v>5.7942222106686821E-3</v>
      </c>
      <c r="S216" s="2"/>
      <c r="T216" s="7">
        <v>35676.49</v>
      </c>
      <c r="U216" s="2"/>
      <c r="V216" s="6">
        <f t="shared" si="89"/>
        <v>5.4012277247721258E-3</v>
      </c>
      <c r="W216" s="2"/>
      <c r="X216" s="7">
        <f t="shared" si="90"/>
        <v>39420.82</v>
      </c>
      <c r="Y216" s="2"/>
      <c r="Z216" s="6">
        <f t="shared" si="91"/>
        <v>1.1049523089294939</v>
      </c>
    </row>
    <row r="217" spans="1:26" s="29" customFormat="1" outlineLevel="1" collapsed="1" x14ac:dyDescent="0.3">
      <c r="A217" s="28"/>
      <c r="B217" s="14" t="str">
        <f>CONCATENATE("     ","Royalty &amp; Commissions                             ")</f>
        <v xml:space="preserve">     Royalty &amp; Commissions                             </v>
      </c>
      <c r="C217" s="14"/>
      <c r="D217" s="1">
        <f>SUM(OSRRefD22_19x_0)</f>
        <v>23704.5</v>
      </c>
      <c r="E217" s="1"/>
      <c r="F217" s="5">
        <f t="shared" ref="F217:F220" si="92">IF(D$12=0,0,D217/D$12)</f>
        <v>1.4954298026249046E-2</v>
      </c>
      <c r="G217" s="1"/>
      <c r="H217" s="1">
        <f>SUM(OSRRefH22_19x_0)</f>
        <v>7789.59</v>
      </c>
      <c r="I217" s="1"/>
      <c r="J217" s="5">
        <f t="shared" ref="J217:J220" si="93">IF(H$12=0,0,H217/H$12)</f>
        <v>5.3268558821243563E-3</v>
      </c>
      <c r="K217" s="1"/>
      <c r="L217" s="1">
        <f t="shared" ref="L217:L220" si="94">+D217-H217</f>
        <v>15914.91</v>
      </c>
      <c r="M217" s="1"/>
      <c r="N217" s="5">
        <f t="shared" ref="N217:N220" si="95">IF(H217=0,0,L217/H217)</f>
        <v>2.0430998293876828</v>
      </c>
      <c r="O217" s="14"/>
      <c r="P217" s="1">
        <f>SUM(OSRRefP22_19x_0)</f>
        <v>47296.340000000004</v>
      </c>
      <c r="Q217" s="1"/>
      <c r="R217" s="5">
        <f t="shared" ref="R217:R220" si="96">IF(P$12=0,0,P217/P$12)</f>
        <v>3.6492053272126211E-3</v>
      </c>
      <c r="S217" s="1"/>
      <c r="T217" s="1">
        <f>SUM(OSRRefT22_19x_0)</f>
        <v>36551.350000000006</v>
      </c>
      <c r="U217" s="1"/>
      <c r="V217" s="5">
        <f t="shared" ref="V217:V220" si="97">IF(T$12=0,0,T217/T$12)</f>
        <v>5.5336767994230845E-3</v>
      </c>
      <c r="W217" s="1"/>
      <c r="X217" s="1">
        <f t="shared" ref="X217:X220" si="98">+P217-T217</f>
        <v>10744.989999999998</v>
      </c>
      <c r="Y217" s="1"/>
      <c r="Z217" s="5">
        <f t="shared" ref="Z217:Z220" si="99">IF(T217=0,0,X217/T217)</f>
        <v>0.29396971657681581</v>
      </c>
    </row>
    <row r="218" spans="1:26" s="24" customFormat="1" hidden="1" outlineLevel="2" x14ac:dyDescent="0.3">
      <c r="A218" s="27"/>
      <c r="B218" s="11" t="str">
        <f>CONCATENATE("          ", "6253", " - ", "ROYALTY DUE ATHLETICS-LRG")</f>
        <v xml:space="preserve">          6253 - ROYALTY DUE ATHLETICS-LRG</v>
      </c>
      <c r="C218" s="11"/>
      <c r="D218" s="7">
        <v>16060.87</v>
      </c>
      <c r="E218" s="2"/>
      <c r="F218" s="6">
        <f t="shared" si="92"/>
        <v>1.0132212725045562E-2</v>
      </c>
      <c r="G218" s="2"/>
      <c r="H218" s="7">
        <v>7785.78</v>
      </c>
      <c r="I218" s="2"/>
      <c r="J218" s="6">
        <f t="shared" si="93"/>
        <v>5.3242504406427254E-3</v>
      </c>
      <c r="K218" s="2"/>
      <c r="L218" s="7">
        <f t="shared" si="94"/>
        <v>8275.09</v>
      </c>
      <c r="M218" s="2"/>
      <c r="N218" s="6">
        <f t="shared" si="95"/>
        <v>1.0628466255147204</v>
      </c>
      <c r="O218" s="11"/>
      <c r="P218" s="7">
        <v>39221.160000000003</v>
      </c>
      <c r="Q218" s="2"/>
      <c r="R218" s="6">
        <f t="shared" si="96"/>
        <v>3.0261552164809911E-3</v>
      </c>
      <c r="S218" s="2"/>
      <c r="T218" s="7">
        <v>26197.58</v>
      </c>
      <c r="U218" s="2"/>
      <c r="V218" s="6">
        <f t="shared" si="97"/>
        <v>3.966171992198105E-3</v>
      </c>
      <c r="W218" s="2"/>
      <c r="X218" s="7">
        <f t="shared" si="98"/>
        <v>13023.580000000002</v>
      </c>
      <c r="Y218" s="2"/>
      <c r="Z218" s="6">
        <f t="shared" si="99"/>
        <v>0.49712912414047405</v>
      </c>
    </row>
    <row r="219" spans="1:26" s="24" customFormat="1" hidden="1" outlineLevel="2" x14ac:dyDescent="0.3">
      <c r="A219" s="27"/>
      <c r="B219" s="11" t="str">
        <f>CONCATENATE("          ", "6254", " - ", "ROYALTY &amp; COMMISSIONS")</f>
        <v xml:space="preserve">          6254 - ROYALTY &amp; COMMISSIONS</v>
      </c>
      <c r="C219" s="11"/>
      <c r="D219" s="7">
        <v>7389.19</v>
      </c>
      <c r="E219" s="2"/>
      <c r="F219" s="6">
        <f t="shared" si="92"/>
        <v>4.661568454621662E-3</v>
      </c>
      <c r="G219" s="2"/>
      <c r="H219" s="7"/>
      <c r="I219" s="2"/>
      <c r="J219" s="6">
        <f t="shared" si="93"/>
        <v>0</v>
      </c>
      <c r="K219" s="2"/>
      <c r="L219" s="7">
        <f t="shared" si="94"/>
        <v>7389.19</v>
      </c>
      <c r="M219" s="2"/>
      <c r="N219" s="6">
        <f t="shared" si="95"/>
        <v>0</v>
      </c>
      <c r="O219" s="11"/>
      <c r="P219" s="7">
        <v>2206.6</v>
      </c>
      <c r="Q219" s="2"/>
      <c r="R219" s="6">
        <f t="shared" si="96"/>
        <v>1.7025284567531799E-4</v>
      </c>
      <c r="S219" s="2"/>
      <c r="T219" s="7">
        <v>185.7</v>
      </c>
      <c r="U219" s="2"/>
      <c r="V219" s="6">
        <f t="shared" si="97"/>
        <v>2.8113976136390766E-5</v>
      </c>
      <c r="W219" s="2"/>
      <c r="X219" s="7">
        <f t="shared" si="98"/>
        <v>2020.8999999999999</v>
      </c>
      <c r="Y219" s="2"/>
      <c r="Z219" s="6">
        <f t="shared" si="99"/>
        <v>10.882606354334948</v>
      </c>
    </row>
    <row r="220" spans="1:26" s="24" customFormat="1" hidden="1" outlineLevel="2" x14ac:dyDescent="0.3">
      <c r="A220" s="27"/>
      <c r="B220" s="11" t="str">
        <f>CONCATENATE("          ", "6259", " - ", "ROYALTY &amp; COMMISSIONS")</f>
        <v xml:space="preserve">          6259 - ROYALTY &amp; COMMISSIONS</v>
      </c>
      <c r="C220" s="11"/>
      <c r="D220" s="7">
        <v>254.44</v>
      </c>
      <c r="E220" s="2"/>
      <c r="F220" s="6">
        <f t="shared" si="92"/>
        <v>1.6051684658182231E-4</v>
      </c>
      <c r="G220" s="2"/>
      <c r="H220" s="7">
        <v>3.81</v>
      </c>
      <c r="I220" s="2"/>
      <c r="J220" s="6">
        <f t="shared" si="93"/>
        <v>2.6054414816304577E-6</v>
      </c>
      <c r="K220" s="2"/>
      <c r="L220" s="7">
        <f t="shared" si="94"/>
        <v>250.63</v>
      </c>
      <c r="M220" s="2"/>
      <c r="N220" s="6">
        <f t="shared" si="95"/>
        <v>65.782152230971121</v>
      </c>
      <c r="O220" s="11"/>
      <c r="P220" s="7">
        <v>5868.58</v>
      </c>
      <c r="Q220" s="2"/>
      <c r="R220" s="6">
        <f t="shared" si="96"/>
        <v>4.5279726505631181E-4</v>
      </c>
      <c r="S220" s="2"/>
      <c r="T220" s="7">
        <v>10168.07</v>
      </c>
      <c r="U220" s="2"/>
      <c r="V220" s="6">
        <f t="shared" si="97"/>
        <v>1.5393908310885884E-3</v>
      </c>
      <c r="W220" s="2"/>
      <c r="X220" s="7">
        <f t="shared" si="98"/>
        <v>-4299.49</v>
      </c>
      <c r="Y220" s="2"/>
      <c r="Z220" s="6">
        <f t="shared" si="99"/>
        <v>-0.4228422896380532</v>
      </c>
    </row>
    <row r="221" spans="1:26" s="29" customFormat="1" outlineLevel="1" collapsed="1" x14ac:dyDescent="0.3">
      <c r="A221" s="28"/>
      <c r="B221" s="14" t="str">
        <f>CONCATENATE("     ","Services                                          ")</f>
        <v xml:space="preserve">     Services                                          </v>
      </c>
      <c r="C221" s="14"/>
      <c r="D221" s="1">
        <f>SUM(OSRRefD22_20x_0)</f>
        <v>26700.649999999998</v>
      </c>
      <c r="E221" s="1"/>
      <c r="F221" s="5">
        <f t="shared" ref="F221:F226" si="100">IF(D$12=0,0,D221/D$12)</f>
        <v>1.6844458967477337E-2</v>
      </c>
      <c r="G221" s="1"/>
      <c r="H221" s="1">
        <f>SUM(OSRRefH22_20x_0)</f>
        <v>27196.27</v>
      </c>
      <c r="I221" s="1"/>
      <c r="J221" s="5">
        <f t="shared" ref="J221:J226" si="101">IF(H$12=0,0,H221/H$12)</f>
        <v>1.8597976378903404E-2</v>
      </c>
      <c r="K221" s="1"/>
      <c r="L221" s="1">
        <f t="shared" ref="L221:L226" si="102">+D221-H221</f>
        <v>-495.62000000000262</v>
      </c>
      <c r="M221" s="1"/>
      <c r="N221" s="5">
        <f t="shared" ref="N221:N226" si="103">IF(H221=0,0,L221/H221)</f>
        <v>-1.8223822605085278E-2</v>
      </c>
      <c r="O221" s="14"/>
      <c r="P221" s="1">
        <f>SUM(OSRRefP22_20x_0)</f>
        <v>211475.06</v>
      </c>
      <c r="Q221" s="1"/>
      <c r="R221" s="5">
        <f t="shared" ref="R221:R226" si="104">IF(P$12=0,0,P221/P$12)</f>
        <v>1.6316609604984416E-2</v>
      </c>
      <c r="S221" s="1"/>
      <c r="T221" s="1">
        <f>SUM(OSRRefT22_20x_0)</f>
        <v>148949.16</v>
      </c>
      <c r="U221" s="1"/>
      <c r="V221" s="5">
        <f t="shared" ref="V221:V226" si="105">IF(T$12=0,0,T221/T$12)</f>
        <v>2.2550097629377763E-2</v>
      </c>
      <c r="W221" s="1"/>
      <c r="X221" s="1">
        <f t="shared" ref="X221:X226" si="106">+P221-T221</f>
        <v>62525.899999999994</v>
      </c>
      <c r="Y221" s="1"/>
      <c r="Z221" s="5">
        <f t="shared" ref="Z221:Z226" si="107">IF(T221=0,0,X221/T221)</f>
        <v>0.41978014511797174</v>
      </c>
    </row>
    <row r="222" spans="1:26" s="24" customFormat="1" hidden="1" outlineLevel="2" x14ac:dyDescent="0.3">
      <c r="A222" s="27"/>
      <c r="B222" s="11" t="str">
        <f>CONCATENATE("          ", "6282", " - ", "JANITORIAL/EXTERMINATOR EXPENS")</f>
        <v xml:space="preserve">          6282 - JANITORIAL/EXTERMINATOR EXPENS</v>
      </c>
      <c r="C222" s="11"/>
      <c r="D222" s="7">
        <v>1805.15</v>
      </c>
      <c r="E222" s="2"/>
      <c r="F222" s="6">
        <f t="shared" si="100"/>
        <v>1.1388028046186785E-3</v>
      </c>
      <c r="G222" s="2"/>
      <c r="H222" s="7">
        <v>7935.2</v>
      </c>
      <c r="I222" s="2"/>
      <c r="J222" s="6">
        <f t="shared" si="101"/>
        <v>5.4264302480404219E-3</v>
      </c>
      <c r="K222" s="2"/>
      <c r="L222" s="7">
        <f t="shared" si="102"/>
        <v>-6130.0499999999993</v>
      </c>
      <c r="M222" s="2"/>
      <c r="N222" s="6">
        <f t="shared" si="103"/>
        <v>-0.77251361024296794</v>
      </c>
      <c r="O222" s="11"/>
      <c r="P222" s="7">
        <v>22284.91</v>
      </c>
      <c r="Q222" s="2"/>
      <c r="R222" s="6">
        <f t="shared" si="104"/>
        <v>1.7194187179907325E-3</v>
      </c>
      <c r="S222" s="2"/>
      <c r="T222" s="7">
        <v>23998.36</v>
      </c>
      <c r="U222" s="2"/>
      <c r="V222" s="6">
        <f t="shared" si="105"/>
        <v>3.6332219728191424E-3</v>
      </c>
      <c r="W222" s="2"/>
      <c r="X222" s="7">
        <f t="shared" si="106"/>
        <v>-1713.4500000000007</v>
      </c>
      <c r="Y222" s="2"/>
      <c r="Z222" s="6">
        <f t="shared" si="107"/>
        <v>-7.1398628906308631E-2</v>
      </c>
    </row>
    <row r="223" spans="1:26" s="24" customFormat="1" hidden="1" outlineLevel="2" x14ac:dyDescent="0.3">
      <c r="A223" s="27"/>
      <c r="B223" s="11" t="str">
        <f>CONCATENATE("          ", "6283", " - ", "PLANT SERVICE")</f>
        <v xml:space="preserve">          6283 - PLANT SERVICE</v>
      </c>
      <c r="C223" s="11"/>
      <c r="D223" s="7"/>
      <c r="E223" s="2"/>
      <c r="F223" s="6">
        <f t="shared" si="100"/>
        <v>0</v>
      </c>
      <c r="G223" s="2"/>
      <c r="H223" s="7"/>
      <c r="I223" s="2"/>
      <c r="J223" s="6">
        <f t="shared" si="101"/>
        <v>0</v>
      </c>
      <c r="K223" s="2"/>
      <c r="L223" s="7">
        <f t="shared" si="102"/>
        <v>0</v>
      </c>
      <c r="M223" s="2"/>
      <c r="N223" s="6">
        <f t="shared" si="103"/>
        <v>0</v>
      </c>
      <c r="O223" s="11"/>
      <c r="P223" s="7"/>
      <c r="Q223" s="2"/>
      <c r="R223" s="6">
        <f t="shared" si="104"/>
        <v>0</v>
      </c>
      <c r="S223" s="2"/>
      <c r="T223" s="7">
        <v>171.31</v>
      </c>
      <c r="U223" s="2"/>
      <c r="V223" s="6">
        <f t="shared" si="105"/>
        <v>2.5935407926360271E-5</v>
      </c>
      <c r="W223" s="2"/>
      <c r="X223" s="7">
        <f t="shared" si="106"/>
        <v>-171.31</v>
      </c>
      <c r="Y223" s="2"/>
      <c r="Z223" s="6">
        <f t="shared" si="107"/>
        <v>-1</v>
      </c>
    </row>
    <row r="224" spans="1:26" s="24" customFormat="1" hidden="1" outlineLevel="2" x14ac:dyDescent="0.3">
      <c r="A224" s="27"/>
      <c r="B224" s="11" t="str">
        <f>CONCATENATE("          ", "6284", " - ", "TRASH REMOVAL EXPENSE")</f>
        <v xml:space="preserve">          6284 - TRASH REMOVAL EXPENSE</v>
      </c>
      <c r="C224" s="11"/>
      <c r="D224" s="7">
        <v>149.69999999999999</v>
      </c>
      <c r="E224" s="2"/>
      <c r="F224" s="6">
        <f t="shared" si="100"/>
        <v>9.4440229261510774E-5</v>
      </c>
      <c r="G224" s="2"/>
      <c r="H224" s="7">
        <v>5800.57</v>
      </c>
      <c r="I224" s="2"/>
      <c r="J224" s="6">
        <f t="shared" si="101"/>
        <v>3.9666786601315444E-3</v>
      </c>
      <c r="K224" s="2"/>
      <c r="L224" s="7">
        <f t="shared" si="102"/>
        <v>-5650.87</v>
      </c>
      <c r="M224" s="2"/>
      <c r="N224" s="6">
        <f t="shared" si="103"/>
        <v>-0.9741921914570465</v>
      </c>
      <c r="O224" s="11"/>
      <c r="P224" s="7">
        <v>1040.77</v>
      </c>
      <c r="Q224" s="2"/>
      <c r="R224" s="6">
        <f t="shared" si="104"/>
        <v>8.0301846367035568E-5</v>
      </c>
      <c r="S224" s="2"/>
      <c r="T224" s="7">
        <v>26399.759999999998</v>
      </c>
      <c r="U224" s="2"/>
      <c r="V224" s="6">
        <f t="shared" si="105"/>
        <v>3.9967809512463301E-3</v>
      </c>
      <c r="W224" s="2"/>
      <c r="X224" s="7">
        <f t="shared" si="106"/>
        <v>-25358.989999999998</v>
      </c>
      <c r="Y224" s="2"/>
      <c r="Z224" s="6">
        <f t="shared" si="107"/>
        <v>-0.96057653554426248</v>
      </c>
    </row>
    <row r="225" spans="1:26" s="24" customFormat="1" hidden="1" outlineLevel="2" x14ac:dyDescent="0.3">
      <c r="A225" s="27"/>
      <c r="B225" s="11" t="str">
        <f>CONCATENATE("          ", "6285", " - ", "JANITORIAL SERVICES")</f>
        <v xml:space="preserve">          6285 - JANITORIAL SERVICES</v>
      </c>
      <c r="C225" s="11"/>
      <c r="D225" s="7">
        <v>21653.82</v>
      </c>
      <c r="E225" s="2"/>
      <c r="F225" s="6">
        <f t="shared" si="100"/>
        <v>1.3660599366649881E-2</v>
      </c>
      <c r="G225" s="2"/>
      <c r="H225" s="7">
        <v>12687.19</v>
      </c>
      <c r="I225" s="2"/>
      <c r="J225" s="6">
        <f t="shared" si="101"/>
        <v>8.6760449111094821E-3</v>
      </c>
      <c r="K225" s="2"/>
      <c r="L225" s="7">
        <f t="shared" si="102"/>
        <v>8966.6299999999992</v>
      </c>
      <c r="M225" s="2"/>
      <c r="N225" s="6">
        <f t="shared" si="103"/>
        <v>0.70674672642247804</v>
      </c>
      <c r="O225" s="11"/>
      <c r="P225" s="7">
        <v>167576.68</v>
      </c>
      <c r="Q225" s="2"/>
      <c r="R225" s="6">
        <f t="shared" si="104"/>
        <v>1.2929577920249317E-2</v>
      </c>
      <c r="S225" s="2"/>
      <c r="T225" s="7">
        <v>86757.26</v>
      </c>
      <c r="U225" s="2"/>
      <c r="V225" s="6">
        <f t="shared" si="105"/>
        <v>1.3134580168544152E-2</v>
      </c>
      <c r="W225" s="2"/>
      <c r="X225" s="7">
        <f t="shared" si="106"/>
        <v>80819.42</v>
      </c>
      <c r="Y225" s="2"/>
      <c r="Z225" s="6">
        <f t="shared" si="107"/>
        <v>0.93155800448285253</v>
      </c>
    </row>
    <row r="226" spans="1:26" s="24" customFormat="1" hidden="1" outlineLevel="2" x14ac:dyDescent="0.3">
      <c r="A226" s="27"/>
      <c r="B226" s="11" t="str">
        <f>CONCATENATE("          ", "6286", " - ", "LAUNDRY EXPENSE")</f>
        <v xml:space="preserve">          6286 - LAUNDRY EXPENSE</v>
      </c>
      <c r="C226" s="11"/>
      <c r="D226" s="7">
        <v>3091.98</v>
      </c>
      <c r="E226" s="2"/>
      <c r="F226" s="6">
        <f t="shared" si="100"/>
        <v>1.9506165669472685E-3</v>
      </c>
      <c r="G226" s="2"/>
      <c r="H226" s="7">
        <v>773.31</v>
      </c>
      <c r="I226" s="2"/>
      <c r="J226" s="6">
        <f t="shared" si="101"/>
        <v>5.2882255962195519E-4</v>
      </c>
      <c r="K226" s="2"/>
      <c r="L226" s="7">
        <f t="shared" si="102"/>
        <v>2318.67</v>
      </c>
      <c r="M226" s="2"/>
      <c r="N226" s="6">
        <f t="shared" si="103"/>
        <v>2.9983706404934636</v>
      </c>
      <c r="O226" s="11"/>
      <c r="P226" s="7">
        <v>20572.7</v>
      </c>
      <c r="Q226" s="2"/>
      <c r="R226" s="6">
        <f t="shared" si="104"/>
        <v>1.5873111203773291E-3</v>
      </c>
      <c r="S226" s="2"/>
      <c r="T226" s="7">
        <v>11622.47</v>
      </c>
      <c r="U226" s="2"/>
      <c r="V226" s="6">
        <f t="shared" si="105"/>
        <v>1.7595791288417748E-3</v>
      </c>
      <c r="W226" s="2"/>
      <c r="X226" s="7">
        <f t="shared" si="106"/>
        <v>8950.2300000000014</v>
      </c>
      <c r="Y226" s="2"/>
      <c r="Z226" s="6">
        <f t="shared" si="107"/>
        <v>0.77007985393810452</v>
      </c>
    </row>
    <row r="227" spans="1:26" s="29" customFormat="1" outlineLevel="1" collapsed="1" x14ac:dyDescent="0.3">
      <c r="A227" s="28"/>
      <c r="B227" s="14" t="str">
        <f>CONCATENATE("     ","Subscriptions &amp; Dues                              ")</f>
        <v xml:space="preserve">     Subscriptions &amp; Dues                              </v>
      </c>
      <c r="C227" s="14"/>
      <c r="D227" s="1">
        <f>SUM(OSRRefD22_21x_0)</f>
        <v>862.49</v>
      </c>
      <c r="E227" s="1"/>
      <c r="F227" s="5">
        <f t="shared" ref="F227:F229" si="108">IF(D$12=0,0,D227/D$12)</f>
        <v>5.441132487358746E-4</v>
      </c>
      <c r="G227" s="1"/>
      <c r="H227" s="1">
        <f>SUM(OSRRefH22_21x_0)</f>
        <v>2389.69</v>
      </c>
      <c r="I227" s="1"/>
      <c r="J227" s="5">
        <f t="shared" ref="J227:J229" si="109">IF(H$12=0,0,H227/H$12)</f>
        <v>1.6341725601673198E-3</v>
      </c>
      <c r="K227" s="1"/>
      <c r="L227" s="1">
        <f t="shared" ref="L227:L229" si="110">+D227-H227</f>
        <v>-1527.2</v>
      </c>
      <c r="M227" s="1"/>
      <c r="N227" s="5">
        <f t="shared" ref="N227:N229" si="111">IF(H227=0,0,L227/H227)</f>
        <v>-0.63907870895388108</v>
      </c>
      <c r="O227" s="14"/>
      <c r="P227" s="1">
        <f>SUM(OSRRefP22_21x_0)</f>
        <v>6226.84</v>
      </c>
      <c r="Q227" s="1"/>
      <c r="R227" s="5">
        <f t="shared" ref="R227:R229" si="112">IF(P$12=0,0,P227/P$12)</f>
        <v>4.8043924116962614E-4</v>
      </c>
      <c r="S227" s="1"/>
      <c r="T227" s="1">
        <f>SUM(OSRRefT22_21x_0)</f>
        <v>5174.3</v>
      </c>
      <c r="U227" s="1"/>
      <c r="V227" s="5">
        <f t="shared" ref="V227:V229" si="113">IF(T$12=0,0,T227/T$12)</f>
        <v>7.8336104858657378E-4</v>
      </c>
      <c r="W227" s="1"/>
      <c r="X227" s="1">
        <f t="shared" ref="X227:X229" si="114">+P227-T227</f>
        <v>1052.54</v>
      </c>
      <c r="Y227" s="1"/>
      <c r="Z227" s="5">
        <f t="shared" ref="Z227:Z229" si="115">IF(T227=0,0,X227/T227)</f>
        <v>0.20341688730842819</v>
      </c>
    </row>
    <row r="228" spans="1:26" s="24" customFormat="1" hidden="1" outlineLevel="2" x14ac:dyDescent="0.3">
      <c r="A228" s="27"/>
      <c r="B228" s="11" t="str">
        <f>CONCATENATE("          ", "6258", " - ", "MEMBERSHIP DUES")</f>
        <v xml:space="preserve">          6258 - MEMBERSHIP DUES</v>
      </c>
      <c r="C228" s="11"/>
      <c r="D228" s="7">
        <v>301.99</v>
      </c>
      <c r="E228" s="2"/>
      <c r="F228" s="6">
        <f t="shared" si="108"/>
        <v>1.9051439435326413E-4</v>
      </c>
      <c r="G228" s="2"/>
      <c r="H228" s="7">
        <v>462.61</v>
      </c>
      <c r="I228" s="2"/>
      <c r="J228" s="6">
        <f t="shared" si="109"/>
        <v>3.1635256793098847E-4</v>
      </c>
      <c r="K228" s="2"/>
      <c r="L228" s="7">
        <f t="shared" si="110"/>
        <v>-160.62</v>
      </c>
      <c r="M228" s="2"/>
      <c r="N228" s="6">
        <f t="shared" si="111"/>
        <v>-0.34720390825965713</v>
      </c>
      <c r="O228" s="11"/>
      <c r="P228" s="7">
        <v>1693.73</v>
      </c>
      <c r="Q228" s="2"/>
      <c r="R228" s="6">
        <f t="shared" si="112"/>
        <v>1.306817512488246E-4</v>
      </c>
      <c r="S228" s="2"/>
      <c r="T228" s="7">
        <v>2487.3200000000002</v>
      </c>
      <c r="U228" s="2"/>
      <c r="V228" s="6">
        <f t="shared" si="113"/>
        <v>3.7656680195782171E-4</v>
      </c>
      <c r="W228" s="2"/>
      <c r="X228" s="7">
        <f t="shared" si="114"/>
        <v>-793.59000000000015</v>
      </c>
      <c r="Y228" s="2"/>
      <c r="Z228" s="6">
        <f t="shared" si="115"/>
        <v>-0.3190542431211103</v>
      </c>
    </row>
    <row r="229" spans="1:26" s="24" customFormat="1" hidden="1" outlineLevel="2" x14ac:dyDescent="0.3">
      <c r="A229" s="27"/>
      <c r="B229" s="11" t="str">
        <f>CONCATENATE("          ", "6275", " - ", "SUBSCRIPTIONS")</f>
        <v xml:space="preserve">          6275 - SUBSCRIPTIONS</v>
      </c>
      <c r="C229" s="11"/>
      <c r="D229" s="7">
        <v>560.5</v>
      </c>
      <c r="E229" s="2"/>
      <c r="F229" s="6">
        <f t="shared" si="108"/>
        <v>3.535988543826105E-4</v>
      </c>
      <c r="G229" s="2"/>
      <c r="H229" s="7">
        <v>1927.08</v>
      </c>
      <c r="I229" s="2"/>
      <c r="J229" s="6">
        <f t="shared" si="109"/>
        <v>1.3178199922363313E-3</v>
      </c>
      <c r="K229" s="2"/>
      <c r="L229" s="7">
        <f t="shared" si="110"/>
        <v>-1366.58</v>
      </c>
      <c r="M229" s="2"/>
      <c r="N229" s="6">
        <f t="shared" si="111"/>
        <v>-0.70914544284617143</v>
      </c>
      <c r="O229" s="11"/>
      <c r="P229" s="7">
        <v>4533.1099999999997</v>
      </c>
      <c r="Q229" s="2"/>
      <c r="R229" s="6">
        <f t="shared" si="112"/>
        <v>3.4975748992080154E-4</v>
      </c>
      <c r="S229" s="2"/>
      <c r="T229" s="7">
        <v>2686.98</v>
      </c>
      <c r="U229" s="2"/>
      <c r="V229" s="6">
        <f t="shared" si="113"/>
        <v>4.0679424662875212E-4</v>
      </c>
      <c r="W229" s="2"/>
      <c r="X229" s="7">
        <f t="shared" si="114"/>
        <v>1846.1299999999997</v>
      </c>
      <c r="Y229" s="2"/>
      <c r="Z229" s="6">
        <f t="shared" si="115"/>
        <v>0.6870650321178422</v>
      </c>
    </row>
    <row r="230" spans="1:26" s="29" customFormat="1" outlineLevel="1" collapsed="1" x14ac:dyDescent="0.3">
      <c r="A230" s="28"/>
      <c r="B230" s="14" t="str">
        <f>CONCATENATE("     ","Supplies                                          ")</f>
        <v xml:space="preserve">     Supplies                                          </v>
      </c>
      <c r="C230" s="14"/>
      <c r="D230" s="1">
        <f>SUM(OSRRefD22_22x_0)</f>
        <v>18272.350000000002</v>
      </c>
      <c r="E230" s="1"/>
      <c r="F230" s="5">
        <f t="shared" ref="F230:F239" si="116">IF(D$12=0,0,D230/D$12)</f>
        <v>1.1527354196035849E-2</v>
      </c>
      <c r="G230" s="1"/>
      <c r="H230" s="1">
        <f>SUM(OSRRefH22_22x_0)</f>
        <v>24642.68</v>
      </c>
      <c r="I230" s="1"/>
      <c r="J230" s="5">
        <f t="shared" ref="J230:J239" si="117">IF(H$12=0,0,H230/H$12)</f>
        <v>1.6851721966022373E-2</v>
      </c>
      <c r="K230" s="1"/>
      <c r="L230" s="1">
        <f t="shared" ref="L230:L239" si="118">+D230-H230</f>
        <v>-6370.3299999999981</v>
      </c>
      <c r="M230" s="1"/>
      <c r="N230" s="5">
        <f t="shared" ref="N230:N239" si="119">IF(H230=0,0,L230/H230)</f>
        <v>-0.25850800318796485</v>
      </c>
      <c r="O230" s="14"/>
      <c r="P230" s="1">
        <f>SUM(OSRRefP22_22x_0)</f>
        <v>320373.65999999997</v>
      </c>
      <c r="Q230" s="1"/>
      <c r="R230" s="5">
        <f t="shared" ref="R230:R239" si="120">IF(P$12=0,0,P230/P$12)</f>
        <v>2.4718810520446294E-2</v>
      </c>
      <c r="S230" s="1"/>
      <c r="T230" s="1">
        <f>SUM(OSRRefT22_22x_0)</f>
        <v>215282.59999999998</v>
      </c>
      <c r="U230" s="1"/>
      <c r="V230" s="5">
        <f t="shared" ref="V230:V239" si="121">IF(T$12=0,0,T230/T$12)</f>
        <v>3.259262185772837E-2</v>
      </c>
      <c r="W230" s="1"/>
      <c r="X230" s="1">
        <f t="shared" ref="X230:X239" si="122">+P230-T230</f>
        <v>105091.06</v>
      </c>
      <c r="Y230" s="1"/>
      <c r="Z230" s="5">
        <f t="shared" ref="Z230:Z239" si="123">IF(T230=0,0,X230/T230)</f>
        <v>0.48815398922160924</v>
      </c>
    </row>
    <row r="231" spans="1:26" s="24" customFormat="1" hidden="1" outlineLevel="2" x14ac:dyDescent="0.3">
      <c r="A231" s="27"/>
      <c r="B231" s="11" t="str">
        <f>CONCATENATE("          ", "6234", " - ", "EXPENDABLE SUPPLIES &amp; EQUIPMEN")</f>
        <v xml:space="preserve">          6234 - EXPENDABLE SUPPLIES &amp; EQUIPMEN</v>
      </c>
      <c r="C231" s="11"/>
      <c r="D231" s="7">
        <v>57.77</v>
      </c>
      <c r="E231" s="2"/>
      <c r="F231" s="6">
        <f t="shared" si="116"/>
        <v>3.6444970236723298E-5</v>
      </c>
      <c r="G231" s="2"/>
      <c r="H231" s="7">
        <v>396.5</v>
      </c>
      <c r="I231" s="2"/>
      <c r="J231" s="6">
        <f t="shared" si="117"/>
        <v>2.7114371324579435E-4</v>
      </c>
      <c r="K231" s="2"/>
      <c r="L231" s="7">
        <f t="shared" si="118"/>
        <v>-338.73</v>
      </c>
      <c r="M231" s="2"/>
      <c r="N231" s="6">
        <f t="shared" si="119"/>
        <v>-0.85430012610340489</v>
      </c>
      <c r="O231" s="11"/>
      <c r="P231" s="7">
        <v>6879.21</v>
      </c>
      <c r="Q231" s="2"/>
      <c r="R231" s="6">
        <f t="shared" si="120"/>
        <v>5.3077362390016505E-4</v>
      </c>
      <c r="S231" s="2"/>
      <c r="T231" s="7">
        <v>574.74</v>
      </c>
      <c r="U231" s="2"/>
      <c r="V231" s="6">
        <f t="shared" si="121"/>
        <v>8.7012529050238175E-5</v>
      </c>
      <c r="W231" s="2"/>
      <c r="X231" s="7">
        <f t="shared" si="122"/>
        <v>6304.47</v>
      </c>
      <c r="Y231" s="2"/>
      <c r="Z231" s="6">
        <f t="shared" si="123"/>
        <v>10.96925566343042</v>
      </c>
    </row>
    <row r="232" spans="1:26" s="24" customFormat="1" hidden="1" outlineLevel="2" x14ac:dyDescent="0.3">
      <c r="A232" s="27"/>
      <c r="B232" s="11" t="str">
        <f>CONCATENATE("          ", "6235", " - ", "COVID-19 EXPENSES")</f>
        <v xml:space="preserve">          6235 - COVID-19 EXPENSES</v>
      </c>
      <c r="C232" s="11"/>
      <c r="D232" s="7">
        <v>318.42</v>
      </c>
      <c r="E232" s="2"/>
      <c r="F232" s="6">
        <f t="shared" si="116"/>
        <v>2.0087947763159828E-4</v>
      </c>
      <c r="G232" s="2"/>
      <c r="H232" s="7">
        <v>5842.4</v>
      </c>
      <c r="I232" s="2"/>
      <c r="J232" s="6">
        <f t="shared" si="117"/>
        <v>3.9952838089967937E-3</v>
      </c>
      <c r="K232" s="2"/>
      <c r="L232" s="7">
        <f t="shared" si="118"/>
        <v>-5523.98</v>
      </c>
      <c r="M232" s="2"/>
      <c r="N232" s="6">
        <f t="shared" si="119"/>
        <v>-0.94549842530466932</v>
      </c>
      <c r="O232" s="11"/>
      <c r="P232" s="7">
        <v>3942.24</v>
      </c>
      <c r="Q232" s="2"/>
      <c r="R232" s="6">
        <f t="shared" si="120"/>
        <v>3.041682127866698E-4</v>
      </c>
      <c r="S232" s="2"/>
      <c r="T232" s="7">
        <v>92704.63</v>
      </c>
      <c r="U232" s="2"/>
      <c r="V232" s="6">
        <f t="shared" si="121"/>
        <v>1.4034979836041657E-2</v>
      </c>
      <c r="W232" s="2"/>
      <c r="X232" s="7">
        <f t="shared" si="122"/>
        <v>-88762.39</v>
      </c>
      <c r="Y232" s="2"/>
      <c r="Z232" s="6">
        <f t="shared" si="123"/>
        <v>-0.9574752631017458</v>
      </c>
    </row>
    <row r="233" spans="1:26" s="24" customFormat="1" hidden="1" outlineLevel="2" x14ac:dyDescent="0.3">
      <c r="A233" s="27"/>
      <c r="B233" s="11" t="str">
        <f>CONCATENATE("          ", "6237", " - ", "JANITORIAL SUPPLIES")</f>
        <v xml:space="preserve">          6237 - JANITORIAL SUPPLIES</v>
      </c>
      <c r="C233" s="11"/>
      <c r="D233" s="7">
        <v>2955.06</v>
      </c>
      <c r="E233" s="2"/>
      <c r="F233" s="6">
        <f t="shared" si="116"/>
        <v>1.8642387700836341E-3</v>
      </c>
      <c r="G233" s="2"/>
      <c r="H233" s="7">
        <v>4501.13</v>
      </c>
      <c r="I233" s="2"/>
      <c r="J233" s="6">
        <f t="shared" si="117"/>
        <v>3.0780658310265883E-3</v>
      </c>
      <c r="K233" s="2"/>
      <c r="L233" s="7">
        <f t="shared" si="118"/>
        <v>-1546.0700000000002</v>
      </c>
      <c r="M233" s="2"/>
      <c r="N233" s="6">
        <f t="shared" si="119"/>
        <v>-0.34348485824670699</v>
      </c>
      <c r="O233" s="11"/>
      <c r="P233" s="7">
        <v>45070.15</v>
      </c>
      <c r="Q233" s="2"/>
      <c r="R233" s="6">
        <f t="shared" si="120"/>
        <v>3.4774409918034229E-3</v>
      </c>
      <c r="S233" s="2"/>
      <c r="T233" s="7">
        <v>20175.939999999999</v>
      </c>
      <c r="U233" s="2"/>
      <c r="V233" s="6">
        <f t="shared" si="121"/>
        <v>3.0545282481919864E-3</v>
      </c>
      <c r="W233" s="2"/>
      <c r="X233" s="7">
        <f t="shared" si="122"/>
        <v>24894.210000000003</v>
      </c>
      <c r="Y233" s="2"/>
      <c r="Z233" s="6">
        <f t="shared" si="123"/>
        <v>1.233856266424266</v>
      </c>
    </row>
    <row r="234" spans="1:26" s="24" customFormat="1" hidden="1" outlineLevel="2" x14ac:dyDescent="0.3">
      <c r="A234" s="27"/>
      <c r="B234" s="11" t="str">
        <f>CONCATENATE("          ", "6239", " - ", "KITCHEN SUPPLIES")</f>
        <v xml:space="preserve">          6239 - KITCHEN SUPPLIES</v>
      </c>
      <c r="C234" s="11"/>
      <c r="D234" s="7">
        <v>1944.52</v>
      </c>
      <c r="E234" s="2"/>
      <c r="F234" s="6">
        <f t="shared" si="116"/>
        <v>1.2267262164568666E-3</v>
      </c>
      <c r="G234" s="2"/>
      <c r="H234" s="7">
        <v>979.48</v>
      </c>
      <c r="I234" s="2"/>
      <c r="J234" s="6">
        <f t="shared" si="117"/>
        <v>6.6981045208068263E-4</v>
      </c>
      <c r="K234" s="2"/>
      <c r="L234" s="7">
        <f t="shared" si="118"/>
        <v>965.04</v>
      </c>
      <c r="M234" s="2"/>
      <c r="N234" s="6">
        <f t="shared" si="119"/>
        <v>0.9852574835627067</v>
      </c>
      <c r="O234" s="11"/>
      <c r="P234" s="7">
        <v>28960.23</v>
      </c>
      <c r="Q234" s="2"/>
      <c r="R234" s="6">
        <f t="shared" si="120"/>
        <v>2.2344609666055081E-3</v>
      </c>
      <c r="S234" s="2"/>
      <c r="T234" s="7">
        <v>6813.86</v>
      </c>
      <c r="U234" s="2"/>
      <c r="V234" s="6">
        <f t="shared" si="121"/>
        <v>1.0315815693953021E-3</v>
      </c>
      <c r="W234" s="2"/>
      <c r="X234" s="7">
        <f t="shared" si="122"/>
        <v>22146.37</v>
      </c>
      <c r="Y234" s="2"/>
      <c r="Z234" s="6">
        <f t="shared" si="123"/>
        <v>3.2501944565928858</v>
      </c>
    </row>
    <row r="235" spans="1:26" s="24" customFormat="1" hidden="1" outlineLevel="2" x14ac:dyDescent="0.3">
      <c r="A235" s="27"/>
      <c r="B235" s="11" t="str">
        <f>CONCATENATE("          ", "6241", " - ", "OFFICE EXPENSE")</f>
        <v xml:space="preserve">          6241 - OFFICE EXPENSE</v>
      </c>
      <c r="C235" s="11"/>
      <c r="D235" s="7">
        <v>3943.75</v>
      </c>
      <c r="E235" s="2"/>
      <c r="F235" s="6">
        <f t="shared" si="116"/>
        <v>2.4879669615904018E-3</v>
      </c>
      <c r="G235" s="2"/>
      <c r="H235" s="7">
        <v>1566.26</v>
      </c>
      <c r="I235" s="2"/>
      <c r="J235" s="6">
        <f t="shared" si="117"/>
        <v>1.0710757939681158E-3</v>
      </c>
      <c r="K235" s="2"/>
      <c r="L235" s="7">
        <f t="shared" si="118"/>
        <v>2377.4899999999998</v>
      </c>
      <c r="M235" s="2"/>
      <c r="N235" s="6">
        <f t="shared" si="119"/>
        <v>1.5179408271934416</v>
      </c>
      <c r="O235" s="11"/>
      <c r="P235" s="7">
        <v>48763.34</v>
      </c>
      <c r="Q235" s="2"/>
      <c r="R235" s="6">
        <f t="shared" si="120"/>
        <v>3.7623934558293575E-3</v>
      </c>
      <c r="S235" s="2"/>
      <c r="T235" s="7">
        <v>28012.43</v>
      </c>
      <c r="U235" s="2"/>
      <c r="V235" s="6">
        <f t="shared" si="121"/>
        <v>4.2409304714179693E-3</v>
      </c>
      <c r="W235" s="2"/>
      <c r="X235" s="7">
        <f t="shared" si="122"/>
        <v>20750.909999999996</v>
      </c>
      <c r="Y235" s="2"/>
      <c r="Z235" s="6">
        <f t="shared" si="123"/>
        <v>0.74077507734959069</v>
      </c>
    </row>
    <row r="236" spans="1:26" s="24" customFormat="1" hidden="1" outlineLevel="2" x14ac:dyDescent="0.3">
      <c r="A236" s="27"/>
      <c r="B236" s="11" t="str">
        <f>CONCATENATE("          ", "6243", " - ", "PAPER SUPPLIES")</f>
        <v xml:space="preserve">          6243 - PAPER SUPPLIES</v>
      </c>
      <c r="C236" s="11"/>
      <c r="D236" s="7">
        <v>5706.29</v>
      </c>
      <c r="E236" s="2"/>
      <c r="F236" s="6">
        <f t="shared" si="116"/>
        <v>3.5998886829169425E-3</v>
      </c>
      <c r="G236" s="2"/>
      <c r="H236" s="7">
        <v>2852.08</v>
      </c>
      <c r="I236" s="2"/>
      <c r="J236" s="6">
        <f t="shared" si="117"/>
        <v>1.9503746826584241E-3</v>
      </c>
      <c r="K236" s="2"/>
      <c r="L236" s="7">
        <f t="shared" si="118"/>
        <v>2854.21</v>
      </c>
      <c r="M236" s="2"/>
      <c r="N236" s="6">
        <f t="shared" si="119"/>
        <v>1.0007468233710135</v>
      </c>
      <c r="O236" s="11"/>
      <c r="P236" s="7">
        <v>143788.34</v>
      </c>
      <c r="Q236" s="2"/>
      <c r="R236" s="6">
        <f t="shared" si="120"/>
        <v>1.1094160273692628E-2</v>
      </c>
      <c r="S236" s="2"/>
      <c r="T236" s="7">
        <v>23291.64</v>
      </c>
      <c r="U236" s="2"/>
      <c r="V236" s="6">
        <f t="shared" si="121"/>
        <v>3.5262283852310426E-3</v>
      </c>
      <c r="W236" s="2"/>
      <c r="X236" s="7">
        <f t="shared" si="122"/>
        <v>120496.7</v>
      </c>
      <c r="Y236" s="2"/>
      <c r="Z236" s="6">
        <f t="shared" si="123"/>
        <v>5.1733883917147958</v>
      </c>
    </row>
    <row r="237" spans="1:26" s="24" customFormat="1" hidden="1" outlineLevel="2" x14ac:dyDescent="0.3">
      <c r="A237" s="27"/>
      <c r="B237" s="11" t="str">
        <f>CONCATENATE("          ", "6245", " - ", "PRINTING")</f>
        <v xml:space="preserve">          6245 - PRINTING</v>
      </c>
      <c r="C237" s="11"/>
      <c r="D237" s="7">
        <v>689.76</v>
      </c>
      <c r="E237" s="2"/>
      <c r="F237" s="6">
        <f t="shared" si="116"/>
        <v>4.3514423871355825E-4</v>
      </c>
      <c r="G237" s="2"/>
      <c r="H237" s="7"/>
      <c r="I237" s="2"/>
      <c r="J237" s="6">
        <f t="shared" si="117"/>
        <v>0</v>
      </c>
      <c r="K237" s="2"/>
      <c r="L237" s="7">
        <f t="shared" si="118"/>
        <v>689.76</v>
      </c>
      <c r="M237" s="2"/>
      <c r="N237" s="6">
        <f t="shared" si="119"/>
        <v>0</v>
      </c>
      <c r="O237" s="11"/>
      <c r="P237" s="7">
        <v>3872.74</v>
      </c>
      <c r="Q237" s="2"/>
      <c r="R237" s="6">
        <f t="shared" si="120"/>
        <v>2.9880585768178689E-4</v>
      </c>
      <c r="S237" s="2"/>
      <c r="T237" s="7">
        <v>508.27</v>
      </c>
      <c r="U237" s="2"/>
      <c r="V237" s="6">
        <f t="shared" si="121"/>
        <v>7.6949330376108427E-5</v>
      </c>
      <c r="W237" s="2"/>
      <c r="X237" s="7">
        <f t="shared" si="122"/>
        <v>3364.47</v>
      </c>
      <c r="Y237" s="2"/>
      <c r="Z237" s="6">
        <f t="shared" si="123"/>
        <v>6.61945422708403</v>
      </c>
    </row>
    <row r="238" spans="1:26" s="24" customFormat="1" hidden="1" outlineLevel="2" x14ac:dyDescent="0.3">
      <c r="A238" s="27"/>
      <c r="B238" s="11" t="str">
        <f>CONCATENATE("          ", "6247", " - ", "STORE SUPPLIES")</f>
        <v xml:space="preserve">          6247 - STORE SUPPLIES</v>
      </c>
      <c r="C238" s="11"/>
      <c r="D238" s="7">
        <v>2307.48</v>
      </c>
      <c r="E238" s="2"/>
      <c r="F238" s="6">
        <f t="shared" si="116"/>
        <v>1.4557043434625977E-3</v>
      </c>
      <c r="G238" s="2"/>
      <c r="H238" s="7">
        <v>8504.83</v>
      </c>
      <c r="I238" s="2"/>
      <c r="J238" s="6">
        <f t="shared" si="117"/>
        <v>5.8159676840459753E-3</v>
      </c>
      <c r="K238" s="2"/>
      <c r="L238" s="7">
        <f t="shared" si="118"/>
        <v>-6197.35</v>
      </c>
      <c r="M238" s="2"/>
      <c r="N238" s="6">
        <f t="shared" si="119"/>
        <v>-0.7286859349334438</v>
      </c>
      <c r="O238" s="11"/>
      <c r="P238" s="7">
        <v>32883.93</v>
      </c>
      <c r="Q238" s="2"/>
      <c r="R238" s="6">
        <f t="shared" si="120"/>
        <v>2.5371987036562856E-3</v>
      </c>
      <c r="S238" s="2"/>
      <c r="T238" s="7">
        <v>38700.5</v>
      </c>
      <c r="U238" s="2"/>
      <c r="V238" s="6">
        <f t="shared" si="121"/>
        <v>5.8590464914722177E-3</v>
      </c>
      <c r="W238" s="2"/>
      <c r="X238" s="7">
        <f t="shared" si="122"/>
        <v>-5816.57</v>
      </c>
      <c r="Y238" s="2"/>
      <c r="Z238" s="6">
        <f t="shared" si="123"/>
        <v>-0.15029702458624564</v>
      </c>
    </row>
    <row r="239" spans="1:26" s="24" customFormat="1" hidden="1" outlineLevel="2" x14ac:dyDescent="0.3">
      <c r="A239" s="27"/>
      <c r="B239" s="11" t="str">
        <f>CONCATENATE("          ", "6248", " - ", "UNIFORMS")</f>
        <v xml:space="preserve">          6248 - UNIFORMS</v>
      </c>
      <c r="C239" s="11"/>
      <c r="D239" s="7">
        <v>349.3</v>
      </c>
      <c r="E239" s="2"/>
      <c r="F239" s="6">
        <f t="shared" si="116"/>
        <v>2.2036053494352514E-4</v>
      </c>
      <c r="G239" s="2"/>
      <c r="H239" s="7"/>
      <c r="I239" s="2"/>
      <c r="J239" s="6">
        <f t="shared" si="117"/>
        <v>0</v>
      </c>
      <c r="K239" s="2"/>
      <c r="L239" s="7">
        <f t="shared" si="118"/>
        <v>349.3</v>
      </c>
      <c r="M239" s="2"/>
      <c r="N239" s="6">
        <f t="shared" si="119"/>
        <v>0</v>
      </c>
      <c r="O239" s="11"/>
      <c r="P239" s="7">
        <v>6213.48</v>
      </c>
      <c r="Q239" s="2"/>
      <c r="R239" s="6">
        <f t="shared" si="120"/>
        <v>4.7940843449047167E-4</v>
      </c>
      <c r="S239" s="2"/>
      <c r="T239" s="7">
        <v>4500.59</v>
      </c>
      <c r="U239" s="2"/>
      <c r="V239" s="6">
        <f t="shared" si="121"/>
        <v>6.8136499655185206E-4</v>
      </c>
      <c r="W239" s="2"/>
      <c r="X239" s="7">
        <f t="shared" si="122"/>
        <v>1712.8899999999994</v>
      </c>
      <c r="Y239" s="2"/>
      <c r="Z239" s="6">
        <f t="shared" si="123"/>
        <v>0.38059232233995971</v>
      </c>
    </row>
    <row r="240" spans="1:26" s="29" customFormat="1" outlineLevel="1" collapsed="1" x14ac:dyDescent="0.3">
      <c r="A240" s="28"/>
      <c r="B240" s="14" t="str">
        <f>CONCATENATE("     ","Telephone/Data Lines                              ")</f>
        <v xml:space="preserve">     Telephone/Data Lines                              </v>
      </c>
      <c r="C240" s="14"/>
      <c r="D240" s="1">
        <f>SUM(OSRRefD22_23x_0)</f>
        <v>3891.13</v>
      </c>
      <c r="E240" s="1"/>
      <c r="F240" s="5">
        <f t="shared" ref="F240:F242" si="124">IF(D$12=0,0,D240/D$12)</f>
        <v>2.4547709371165161E-3</v>
      </c>
      <c r="G240" s="1"/>
      <c r="H240" s="1">
        <f>SUM(OSRRefH22_23x_0)</f>
        <v>3297.31</v>
      </c>
      <c r="I240" s="1"/>
      <c r="J240" s="5">
        <f t="shared" ref="J240:J242" si="125">IF(H$12=0,0,H240/H$12)</f>
        <v>2.2548420608385629E-3</v>
      </c>
      <c r="K240" s="1"/>
      <c r="L240" s="1">
        <f t="shared" ref="L240:L242" si="126">+D240-H240</f>
        <v>593.82000000000016</v>
      </c>
      <c r="M240" s="1"/>
      <c r="N240" s="5">
        <f t="shared" ref="N240:N242" si="127">IF(H240=0,0,L240/H240)</f>
        <v>0.18009225702163284</v>
      </c>
      <c r="O240" s="14"/>
      <c r="P240" s="1">
        <f>SUM(OSRRefP22_23x_0)</f>
        <v>25002.63</v>
      </c>
      <c r="Q240" s="1"/>
      <c r="R240" s="5">
        <f t="shared" ref="R240:R242" si="128">IF(P$12=0,0,P240/P$12)</f>
        <v>1.929107634762565E-3</v>
      </c>
      <c r="S240" s="1"/>
      <c r="T240" s="1">
        <f>SUM(OSRRefT22_23x_0)</f>
        <v>32725.51</v>
      </c>
      <c r="U240" s="1"/>
      <c r="V240" s="5">
        <f t="shared" ref="V240:V242" si="129">IF(T$12=0,0,T240/T$12)</f>
        <v>4.9544653052838849E-3</v>
      </c>
      <c r="W240" s="1"/>
      <c r="X240" s="1">
        <f t="shared" ref="X240:X242" si="130">+P240-T240</f>
        <v>-7722.8799999999974</v>
      </c>
      <c r="Y240" s="1"/>
      <c r="Z240" s="5">
        <f t="shared" ref="Z240:Z242" si="131">IF(T240=0,0,X240/T240)</f>
        <v>-0.23598959955093129</v>
      </c>
    </row>
    <row r="241" spans="1:26" s="24" customFormat="1" hidden="1" outlineLevel="2" x14ac:dyDescent="0.3">
      <c r="A241" s="27"/>
      <c r="B241" s="11" t="str">
        <f>CONCATENATE("          ", "6303", " - ", "DATA PHONE LINES")</f>
        <v xml:space="preserve">          6303 - DATA PHONE LINES</v>
      </c>
      <c r="C241" s="11"/>
      <c r="D241" s="7"/>
      <c r="E241" s="2"/>
      <c r="F241" s="6">
        <f t="shared" si="124"/>
        <v>0</v>
      </c>
      <c r="G241" s="2"/>
      <c r="H241" s="7">
        <v>295</v>
      </c>
      <c r="I241" s="2"/>
      <c r="J241" s="6">
        <f t="shared" si="125"/>
        <v>2.0173365802650525E-4</v>
      </c>
      <c r="K241" s="2"/>
      <c r="L241" s="7">
        <f t="shared" si="126"/>
        <v>-295</v>
      </c>
      <c r="M241" s="2"/>
      <c r="N241" s="6">
        <f t="shared" si="127"/>
        <v>-1</v>
      </c>
      <c r="O241" s="11"/>
      <c r="P241" s="7">
        <v>295</v>
      </c>
      <c r="Q241" s="2"/>
      <c r="R241" s="6">
        <f t="shared" si="128"/>
        <v>2.2761075625042511E-5</v>
      </c>
      <c r="S241" s="2"/>
      <c r="T241" s="7">
        <v>2360</v>
      </c>
      <c r="U241" s="2"/>
      <c r="V241" s="6">
        <f t="shared" si="129"/>
        <v>3.5729124222876795E-4</v>
      </c>
      <c r="W241" s="2"/>
      <c r="X241" s="7">
        <f t="shared" si="130"/>
        <v>-2065</v>
      </c>
      <c r="Y241" s="2"/>
      <c r="Z241" s="6">
        <f t="shared" si="131"/>
        <v>-0.875</v>
      </c>
    </row>
    <row r="242" spans="1:26" s="24" customFormat="1" hidden="1" outlineLevel="2" x14ac:dyDescent="0.3">
      <c r="A242" s="27"/>
      <c r="B242" s="11" t="str">
        <f>CONCATENATE("          ", "6309", " - ", "TELEPHONE")</f>
        <v xml:space="preserve">          6309 - TELEPHONE</v>
      </c>
      <c r="C242" s="11"/>
      <c r="D242" s="7">
        <v>3891.13</v>
      </c>
      <c r="E242" s="2"/>
      <c r="F242" s="6">
        <f t="shared" si="124"/>
        <v>2.4547709371165161E-3</v>
      </c>
      <c r="G242" s="2"/>
      <c r="H242" s="7">
        <v>3002.31</v>
      </c>
      <c r="I242" s="2"/>
      <c r="J242" s="6">
        <f t="shared" si="125"/>
        <v>2.0531084028120577E-3</v>
      </c>
      <c r="K242" s="2"/>
      <c r="L242" s="7">
        <f t="shared" si="126"/>
        <v>888.82000000000016</v>
      </c>
      <c r="M242" s="2"/>
      <c r="N242" s="6">
        <f t="shared" si="127"/>
        <v>0.29604537839197159</v>
      </c>
      <c r="O242" s="11"/>
      <c r="P242" s="7">
        <v>24707.63</v>
      </c>
      <c r="Q242" s="2"/>
      <c r="R242" s="6">
        <f t="shared" si="128"/>
        <v>1.9063465591375225E-3</v>
      </c>
      <c r="S242" s="2"/>
      <c r="T242" s="7">
        <v>30365.51</v>
      </c>
      <c r="U242" s="2"/>
      <c r="V242" s="6">
        <f t="shared" si="129"/>
        <v>4.5971740630551166E-3</v>
      </c>
      <c r="W242" s="2"/>
      <c r="X242" s="7">
        <f t="shared" si="130"/>
        <v>-5657.8799999999974</v>
      </c>
      <c r="Y242" s="2"/>
      <c r="Z242" s="6">
        <f t="shared" si="131"/>
        <v>-0.18632586773612556</v>
      </c>
    </row>
    <row r="243" spans="1:26" s="29" customFormat="1" outlineLevel="1" collapsed="1" x14ac:dyDescent="0.3">
      <c r="A243" s="28"/>
      <c r="B243" s="14" t="str">
        <f>CONCATENATE("     ","Training                                          ")</f>
        <v xml:space="preserve">     Training                                          </v>
      </c>
      <c r="C243" s="14"/>
      <c r="D243" s="1">
        <f>SUM(OSRRefD22_24x_0)</f>
        <v>323.87</v>
      </c>
      <c r="E243" s="1"/>
      <c r="F243" s="5">
        <f t="shared" ref="F243:F248" si="132">IF(D$12=0,0,D243/D$12)</f>
        <v>2.0431768237091179E-4</v>
      </c>
      <c r="G243" s="1"/>
      <c r="H243" s="1">
        <f>SUM(OSRRefH22_24x_0)</f>
        <v>0</v>
      </c>
      <c r="I243" s="1"/>
      <c r="J243" s="5">
        <f t="shared" ref="J243:J248" si="133">IF(H$12=0,0,H243/H$12)</f>
        <v>0</v>
      </c>
      <c r="K243" s="1"/>
      <c r="L243" s="1">
        <f t="shared" ref="L243:L248" si="134">+D243-H243</f>
        <v>323.87</v>
      </c>
      <c r="M243" s="1"/>
      <c r="N243" s="5">
        <f t="shared" ref="N243:N248" si="135">IF(H243=0,0,L243/H243)</f>
        <v>0</v>
      </c>
      <c r="O243" s="14"/>
      <c r="P243" s="1">
        <f>SUM(OSRRefP22_24x_0)</f>
        <v>3988.87</v>
      </c>
      <c r="Q243" s="1"/>
      <c r="R243" s="5">
        <f t="shared" ref="R243:R248" si="136">IF(P$12=0,0,P243/P$12)</f>
        <v>3.0776600585919768E-4</v>
      </c>
      <c r="S243" s="1"/>
      <c r="T243" s="1">
        <f>SUM(OSRRefT22_24x_0)</f>
        <v>1380.63</v>
      </c>
      <c r="U243" s="1"/>
      <c r="V243" s="5">
        <f t="shared" ref="V243:V248" si="137">IF(T$12=0,0,T243/T$12)</f>
        <v>2.0901991854165421E-4</v>
      </c>
      <c r="W243" s="1"/>
      <c r="X243" s="1">
        <f t="shared" ref="X243:X248" si="138">+P243-T243</f>
        <v>2608.2399999999998</v>
      </c>
      <c r="Y243" s="1"/>
      <c r="Z243" s="5">
        <f t="shared" ref="Z243:Z248" si="139">IF(T243=0,0,X243/T243)</f>
        <v>1.889166539912938</v>
      </c>
    </row>
    <row r="244" spans="1:26" s="24" customFormat="1" hidden="1" outlineLevel="2" x14ac:dyDescent="0.3">
      <c r="A244" s="27"/>
      <c r="B244" s="11" t="str">
        <f>CONCATENATE("          ", "6376", " - ", "TRAINING")</f>
        <v xml:space="preserve">          6376 - TRAINING</v>
      </c>
      <c r="C244" s="11"/>
      <c r="D244" s="7">
        <v>323.87</v>
      </c>
      <c r="E244" s="2"/>
      <c r="F244" s="6">
        <f t="shared" si="132"/>
        <v>2.0431768237091179E-4</v>
      </c>
      <c r="G244" s="2"/>
      <c r="H244" s="7"/>
      <c r="I244" s="2"/>
      <c r="J244" s="6">
        <f t="shared" si="133"/>
        <v>0</v>
      </c>
      <c r="K244" s="2"/>
      <c r="L244" s="7">
        <f t="shared" si="134"/>
        <v>323.87</v>
      </c>
      <c r="M244" s="2"/>
      <c r="N244" s="6">
        <f t="shared" si="135"/>
        <v>0</v>
      </c>
      <c r="O244" s="11"/>
      <c r="P244" s="7">
        <v>3988.87</v>
      </c>
      <c r="Q244" s="2"/>
      <c r="R244" s="6">
        <f t="shared" si="136"/>
        <v>3.0776600585919768E-4</v>
      </c>
      <c r="S244" s="2"/>
      <c r="T244" s="7">
        <v>1380.63</v>
      </c>
      <c r="U244" s="2"/>
      <c r="V244" s="6">
        <f t="shared" si="137"/>
        <v>2.0901991854165421E-4</v>
      </c>
      <c r="W244" s="2"/>
      <c r="X244" s="7">
        <f t="shared" si="138"/>
        <v>2608.2399999999998</v>
      </c>
      <c r="Y244" s="2"/>
      <c r="Z244" s="6">
        <f t="shared" si="139"/>
        <v>1.889166539912938</v>
      </c>
    </row>
    <row r="245" spans="1:26" s="29" customFormat="1" outlineLevel="1" collapsed="1" x14ac:dyDescent="0.3">
      <c r="A245" s="28"/>
      <c r="B245" s="14" t="str">
        <f>CONCATENATE("     ","Travel                                            ")</f>
        <v xml:space="preserve">     Travel                                            </v>
      </c>
      <c r="C245" s="14"/>
      <c r="D245" s="1">
        <f>SUM(OSRRefD22_25x_0)</f>
        <v>0</v>
      </c>
      <c r="E245" s="1"/>
      <c r="F245" s="5">
        <f t="shared" si="132"/>
        <v>0</v>
      </c>
      <c r="G245" s="1"/>
      <c r="H245" s="1">
        <f>SUM(OSRRefH22_25x_0)</f>
        <v>129.38</v>
      </c>
      <c r="I245" s="1"/>
      <c r="J245" s="5">
        <f t="shared" si="133"/>
        <v>8.8475595510065247E-5</v>
      </c>
      <c r="K245" s="1"/>
      <c r="L245" s="1">
        <f t="shared" si="134"/>
        <v>-129.38</v>
      </c>
      <c r="M245" s="1"/>
      <c r="N245" s="5">
        <f t="shared" si="135"/>
        <v>-1</v>
      </c>
      <c r="O245" s="14"/>
      <c r="P245" s="1">
        <f>SUM(OSRRefP22_25x_0)</f>
        <v>1599.62</v>
      </c>
      <c r="Q245" s="1"/>
      <c r="R245" s="5">
        <f t="shared" si="136"/>
        <v>1.2342058234349323E-4</v>
      </c>
      <c r="S245" s="1"/>
      <c r="T245" s="1">
        <f>SUM(OSRRefT22_25x_0)</f>
        <v>1142.52</v>
      </c>
      <c r="U245" s="1"/>
      <c r="V245" s="5">
        <f t="shared" si="137"/>
        <v>1.7297135172508982E-4</v>
      </c>
      <c r="W245" s="1"/>
      <c r="X245" s="1">
        <f t="shared" si="138"/>
        <v>457.09999999999991</v>
      </c>
      <c r="Y245" s="1"/>
      <c r="Z245" s="5">
        <f t="shared" si="139"/>
        <v>0.40008052375450753</v>
      </c>
    </row>
    <row r="246" spans="1:26" s="24" customFormat="1" hidden="1" outlineLevel="2" x14ac:dyDescent="0.3">
      <c r="A246" s="27"/>
      <c r="B246" s="11" t="str">
        <f>CONCATENATE("          ", "6292", " - ", "TRAVEL/CONFERENCE")</f>
        <v xml:space="preserve">          6292 - TRAVEL/CONFERENCE</v>
      </c>
      <c r="C246" s="11"/>
      <c r="D246" s="7"/>
      <c r="E246" s="2"/>
      <c r="F246" s="6">
        <f t="shared" si="132"/>
        <v>0</v>
      </c>
      <c r="G246" s="2"/>
      <c r="H246" s="7"/>
      <c r="I246" s="2"/>
      <c r="J246" s="6">
        <f t="shared" si="133"/>
        <v>0</v>
      </c>
      <c r="K246" s="2"/>
      <c r="L246" s="7">
        <f t="shared" si="134"/>
        <v>0</v>
      </c>
      <c r="M246" s="2"/>
      <c r="N246" s="6">
        <f t="shared" si="135"/>
        <v>0</v>
      </c>
      <c r="O246" s="11"/>
      <c r="P246" s="7">
        <v>1108.5899999999999</v>
      </c>
      <c r="Q246" s="2"/>
      <c r="R246" s="6">
        <f t="shared" si="136"/>
        <v>8.553457907513856E-5</v>
      </c>
      <c r="S246" s="2"/>
      <c r="T246" s="7">
        <v>299.16000000000003</v>
      </c>
      <c r="U246" s="2"/>
      <c r="V246" s="6">
        <f t="shared" si="137"/>
        <v>4.5291206790321287E-5</v>
      </c>
      <c r="W246" s="2"/>
      <c r="X246" s="7">
        <f t="shared" si="138"/>
        <v>809.42999999999984</v>
      </c>
      <c r="Y246" s="2"/>
      <c r="Z246" s="6">
        <f t="shared" si="139"/>
        <v>2.7056758924989963</v>
      </c>
    </row>
    <row r="247" spans="1:26" s="24" customFormat="1" hidden="1" outlineLevel="2" x14ac:dyDescent="0.3">
      <c r="A247" s="27"/>
      <c r="B247" s="11" t="str">
        <f>CONCATENATE("          ", "6294", " - ", "TRAVEL OPERATIONAL")</f>
        <v xml:space="preserve">          6294 - TRAVEL OPERATIONAL</v>
      </c>
      <c r="C247" s="11"/>
      <c r="D247" s="7"/>
      <c r="E247" s="2"/>
      <c r="F247" s="6">
        <f t="shared" si="132"/>
        <v>0</v>
      </c>
      <c r="G247" s="2"/>
      <c r="H247" s="7">
        <v>129.38</v>
      </c>
      <c r="I247" s="2"/>
      <c r="J247" s="6">
        <f t="shared" si="133"/>
        <v>8.8475595510065247E-5</v>
      </c>
      <c r="K247" s="2"/>
      <c r="L247" s="7">
        <f t="shared" si="134"/>
        <v>-129.38</v>
      </c>
      <c r="M247" s="2"/>
      <c r="N247" s="6">
        <f t="shared" si="135"/>
        <v>-1</v>
      </c>
      <c r="O247" s="11"/>
      <c r="P247" s="7">
        <v>239.93</v>
      </c>
      <c r="Q247" s="2"/>
      <c r="R247" s="6">
        <f t="shared" si="136"/>
        <v>1.8512084321072712E-5</v>
      </c>
      <c r="S247" s="2"/>
      <c r="T247" s="7">
        <v>451.26</v>
      </c>
      <c r="U247" s="2"/>
      <c r="V247" s="6">
        <f t="shared" si="137"/>
        <v>6.831832456277705E-5</v>
      </c>
      <c r="W247" s="2"/>
      <c r="X247" s="7">
        <f t="shared" si="138"/>
        <v>-211.32999999999998</v>
      </c>
      <c r="Y247" s="2"/>
      <c r="Z247" s="6">
        <f t="shared" si="139"/>
        <v>-0.46831095155786018</v>
      </c>
    </row>
    <row r="248" spans="1:26" s="24" customFormat="1" hidden="1" outlineLevel="2" x14ac:dyDescent="0.3">
      <c r="A248" s="27"/>
      <c r="B248" s="11" t="str">
        <f>CONCATENATE("          ", "6298", " - ", "VEHICLE MILEAGE")</f>
        <v xml:space="preserve">          6298 - VEHICLE MILEAGE</v>
      </c>
      <c r="C248" s="11"/>
      <c r="D248" s="7"/>
      <c r="E248" s="2"/>
      <c r="F248" s="6">
        <f t="shared" si="132"/>
        <v>0</v>
      </c>
      <c r="G248" s="2"/>
      <c r="H248" s="7"/>
      <c r="I248" s="2"/>
      <c r="J248" s="6">
        <f t="shared" si="133"/>
        <v>0</v>
      </c>
      <c r="K248" s="2"/>
      <c r="L248" s="7">
        <f t="shared" si="134"/>
        <v>0</v>
      </c>
      <c r="M248" s="2"/>
      <c r="N248" s="6">
        <f t="shared" si="135"/>
        <v>0</v>
      </c>
      <c r="O248" s="11"/>
      <c r="P248" s="7">
        <v>251.1</v>
      </c>
      <c r="Q248" s="2"/>
      <c r="R248" s="6">
        <f t="shared" si="136"/>
        <v>1.9373918947281946E-5</v>
      </c>
      <c r="S248" s="2"/>
      <c r="T248" s="7">
        <v>392.1</v>
      </c>
      <c r="U248" s="2"/>
      <c r="V248" s="6">
        <f t="shared" si="137"/>
        <v>5.9361820371991493E-5</v>
      </c>
      <c r="W248" s="2"/>
      <c r="X248" s="7">
        <f t="shared" si="138"/>
        <v>-141.00000000000003</v>
      </c>
      <c r="Y248" s="2"/>
      <c r="Z248" s="6">
        <f t="shared" si="139"/>
        <v>-0.35960214231063509</v>
      </c>
    </row>
    <row r="249" spans="1:26" s="29" customFormat="1" outlineLevel="1" collapsed="1" x14ac:dyDescent="0.3">
      <c r="A249" s="28"/>
      <c r="B249" s="14" t="str">
        <f>CONCATENATE("     ","Utilities                                         ")</f>
        <v xml:space="preserve">     Utilities                                         </v>
      </c>
      <c r="C249" s="14"/>
      <c r="D249" s="1">
        <f>SUM(OSRRefD22_26x_0)</f>
        <v>14542.91</v>
      </c>
      <c r="E249" s="1"/>
      <c r="F249" s="5">
        <f t="shared" ref="F249:F250" si="140">IF(D$12=0,0,D249/D$12)</f>
        <v>9.174587538607332E-3</v>
      </c>
      <c r="G249" s="1"/>
      <c r="H249" s="1">
        <f>SUM(OSRRefH22_26x_0)</f>
        <v>10961.61</v>
      </c>
      <c r="I249" s="1"/>
      <c r="J249" s="5">
        <f t="shared" ref="J249:J250" si="141">IF(H$12=0,0,H249/H$12)</f>
        <v>7.4960192649488827E-3</v>
      </c>
      <c r="K249" s="1"/>
      <c r="L249" s="1">
        <f t="shared" ref="L249:L250" si="142">+D249-H249</f>
        <v>3581.2999999999993</v>
      </c>
      <c r="M249" s="1"/>
      <c r="N249" s="5">
        <f t="shared" ref="N249:N250" si="143">IF(H249=0,0,L249/H249)</f>
        <v>0.32671295548737816</v>
      </c>
      <c r="O249" s="14"/>
      <c r="P249" s="1">
        <f>SUM(OSRRefP22_26x_0)</f>
        <v>91889.42</v>
      </c>
      <c r="Q249" s="1"/>
      <c r="R249" s="5">
        <f t="shared" ref="R249:R250" si="144">IF(P$12=0,0,P249/P$12)</f>
        <v>7.0898374161399791E-3</v>
      </c>
      <c r="S249" s="1"/>
      <c r="T249" s="1">
        <f>SUM(OSRRefT22_26x_0)</f>
        <v>52273.03</v>
      </c>
      <c r="U249" s="1"/>
      <c r="V249" s="5">
        <f t="shared" ref="V249:V250" si="145">IF(T$12=0,0,T249/T$12)</f>
        <v>7.9138541626108706E-3</v>
      </c>
      <c r="W249" s="1"/>
      <c r="X249" s="1">
        <f t="shared" ref="X249:X250" si="146">+P249-T249</f>
        <v>39616.39</v>
      </c>
      <c r="Y249" s="1"/>
      <c r="Z249" s="5">
        <f t="shared" ref="Z249:Z250" si="147">IF(T249=0,0,X249/T249)</f>
        <v>0.75787437613622166</v>
      </c>
    </row>
    <row r="250" spans="1:26" s="24" customFormat="1" hidden="1" outlineLevel="2" x14ac:dyDescent="0.3">
      <c r="A250" s="27"/>
      <c r="B250" s="11" t="str">
        <f>CONCATENATE("          ", "6274", " - ", "UTILITIES")</f>
        <v xml:space="preserve">          6274 - UTILITIES</v>
      </c>
      <c r="C250" s="11"/>
      <c r="D250" s="7">
        <v>14542.91</v>
      </c>
      <c r="E250" s="2"/>
      <c r="F250" s="6">
        <f t="shared" si="140"/>
        <v>9.174587538607332E-3</v>
      </c>
      <c r="G250" s="2"/>
      <c r="H250" s="7">
        <v>10961.61</v>
      </c>
      <c r="I250" s="2"/>
      <c r="J250" s="6">
        <f t="shared" si="141"/>
        <v>7.4960192649488827E-3</v>
      </c>
      <c r="K250" s="2"/>
      <c r="L250" s="7">
        <f t="shared" si="142"/>
        <v>3581.2999999999993</v>
      </c>
      <c r="M250" s="2"/>
      <c r="N250" s="6">
        <f t="shared" si="143"/>
        <v>0.32671295548737816</v>
      </c>
      <c r="O250" s="11"/>
      <c r="P250" s="7">
        <v>91889.42</v>
      </c>
      <c r="Q250" s="2"/>
      <c r="R250" s="6">
        <f t="shared" si="144"/>
        <v>7.0898374161399791E-3</v>
      </c>
      <c r="S250" s="2"/>
      <c r="T250" s="7">
        <v>52273.03</v>
      </c>
      <c r="U250" s="2"/>
      <c r="V250" s="6">
        <f t="shared" si="145"/>
        <v>7.9138541626108706E-3</v>
      </c>
      <c r="W250" s="2"/>
      <c r="X250" s="7">
        <f t="shared" si="146"/>
        <v>39616.39</v>
      </c>
      <c r="Y250" s="2"/>
      <c r="Z250" s="6">
        <f t="shared" si="147"/>
        <v>0.75787437613622166</v>
      </c>
    </row>
    <row r="251" spans="1:26" s="52" customFormat="1" x14ac:dyDescent="0.3">
      <c r="A251" s="37"/>
      <c r="B251" s="37"/>
      <c r="C251" s="37"/>
      <c r="D251" s="1"/>
      <c r="E251" s="1"/>
      <c r="F251" s="5"/>
      <c r="G251" s="1"/>
      <c r="H251" s="1"/>
      <c r="I251" s="1"/>
      <c r="J251" s="5"/>
      <c r="K251" s="1"/>
      <c r="L251" s="1"/>
      <c r="M251" s="1"/>
      <c r="N251" s="5"/>
      <c r="O251" s="37"/>
      <c r="P251" s="1"/>
      <c r="Q251" s="1"/>
      <c r="R251" s="5"/>
      <c r="S251" s="1"/>
      <c r="T251" s="1"/>
      <c r="U251" s="1"/>
      <c r="V251" s="5"/>
      <c r="W251" s="1"/>
      <c r="X251" s="1"/>
      <c r="Y251" s="1"/>
      <c r="Z251" s="5"/>
    </row>
    <row r="252" spans="1:26" s="23" customFormat="1" collapsed="1" x14ac:dyDescent="0.3">
      <c r="A252" s="10"/>
      <c r="B252" s="26" t="s">
        <v>292</v>
      </c>
      <c r="C252" s="10"/>
      <c r="D252" s="4">
        <f>SUM(OSRRefD25x_0)</f>
        <v>54263.9</v>
      </c>
      <c r="E252" s="4"/>
      <c r="F252" s="12">
        <f t="shared" ref="F252:F260" si="148">IF(D$12=0,0,D252/D$12)</f>
        <v>3.4233100578648597E-2</v>
      </c>
      <c r="G252" s="4"/>
      <c r="H252" s="4">
        <f>SUM(OSRRefH25x_0)</f>
        <v>33489.15</v>
      </c>
      <c r="I252" s="4"/>
      <c r="J252" s="12">
        <f t="shared" ref="J252:J260" si="149">IF(H$12=0,0,H252/H$12)</f>
        <v>2.2901317741350301E-2</v>
      </c>
      <c r="K252" s="4"/>
      <c r="L252" s="4">
        <f t="shared" ref="L252:L260" si="150">+D252-H252</f>
        <v>20774.75</v>
      </c>
      <c r="M252" s="4"/>
      <c r="N252" s="12">
        <f t="shared" ref="N252:N260" si="151">IF(H252=0,0,L252/H252)</f>
        <v>0.62034270801140068</v>
      </c>
      <c r="O252" s="10"/>
      <c r="P252" s="4">
        <f>SUM(OSRRefP25x_0)</f>
        <v>667119.56000000006</v>
      </c>
      <c r="Q252" s="4"/>
      <c r="R252" s="12">
        <f t="shared" ref="R252:R260" si="152">IF(P$12=0,0,P252/P$12)</f>
        <v>5.1472402563068093E-2</v>
      </c>
      <c r="S252" s="4"/>
      <c r="T252" s="4">
        <f>SUM(OSRRefT25x_0)</f>
        <v>594853.19000000006</v>
      </c>
      <c r="U252" s="4"/>
      <c r="V252" s="12">
        <f t="shared" ref="V252:V260" si="153">IF(T$12=0,0,T252/T$12)</f>
        <v>9.0057557287646334E-2</v>
      </c>
      <c r="W252" s="4"/>
      <c r="X252" s="4">
        <f t="shared" ref="X252:X260" si="154">+P252-T252</f>
        <v>72266.37</v>
      </c>
      <c r="Y252" s="4"/>
      <c r="Z252" s="12">
        <f t="shared" ref="Z252:Z260" si="155">IF(T252=0,0,X252/T252)</f>
        <v>0.12148605944266683</v>
      </c>
    </row>
    <row r="253" spans="1:26" s="24" customFormat="1" hidden="1" outlineLevel="1" x14ac:dyDescent="0.3">
      <c r="A253" s="44"/>
      <c r="B253" s="11" t="str">
        <f>CONCATENATE("          ", "4187", " - ", "NON-TAXABLE SALES-COMPUTER REP")</f>
        <v xml:space="preserve">          4187 - NON-TAXABLE SALES-COMPUTER REP</v>
      </c>
      <c r="C253" s="11"/>
      <c r="D253" s="2">
        <f>0</f>
        <v>0</v>
      </c>
      <c r="E253" s="2"/>
      <c r="F253" s="19">
        <f t="shared" si="148"/>
        <v>0</v>
      </c>
      <c r="G253" s="2"/>
      <c r="H253" s="2">
        <f>--651.37</f>
        <v>651.37</v>
      </c>
      <c r="I253" s="2"/>
      <c r="J253" s="19">
        <f t="shared" si="149"/>
        <v>4.4543475535160925E-4</v>
      </c>
      <c r="K253" s="2"/>
      <c r="L253" s="2">
        <f t="shared" si="150"/>
        <v>-651.37</v>
      </c>
      <c r="M253" s="2"/>
      <c r="N253" s="19">
        <f t="shared" si="151"/>
        <v>-1</v>
      </c>
      <c r="O253" s="11"/>
      <c r="P253" s="2">
        <f>0</f>
        <v>0</v>
      </c>
      <c r="Q253" s="2"/>
      <c r="R253" s="19">
        <f t="shared" si="152"/>
        <v>0</v>
      </c>
      <c r="S253" s="2"/>
      <c r="T253" s="2">
        <f>--1685.87</f>
        <v>1685.87</v>
      </c>
      <c r="U253" s="2"/>
      <c r="V253" s="19">
        <f t="shared" si="153"/>
        <v>2.5523160446449703E-4</v>
      </c>
      <c r="W253" s="2"/>
      <c r="X253" s="2">
        <f t="shared" si="154"/>
        <v>-1685.87</v>
      </c>
      <c r="Y253" s="2"/>
      <c r="Z253" s="19">
        <f t="shared" si="155"/>
        <v>-1</v>
      </c>
    </row>
    <row r="254" spans="1:26" s="24" customFormat="1" hidden="1" outlineLevel="1" x14ac:dyDescent="0.3">
      <c r="A254" s="44"/>
      <c r="B254" s="11" t="str">
        <f>CONCATENATE("          ", "9087", " - ", "")</f>
        <v xml:space="preserve">          9087 - </v>
      </c>
      <c r="C254" s="11"/>
      <c r="D254" s="2">
        <f>--1293.31</f>
        <v>1293.31</v>
      </c>
      <c r="E254" s="2"/>
      <c r="F254" s="19">
        <f t="shared" si="148"/>
        <v>8.1590175622047096E-4</v>
      </c>
      <c r="G254" s="2"/>
      <c r="H254" s="2">
        <f>0</f>
        <v>0</v>
      </c>
      <c r="I254" s="2"/>
      <c r="J254" s="19">
        <f t="shared" si="149"/>
        <v>0</v>
      </c>
      <c r="K254" s="2"/>
      <c r="L254" s="2">
        <f t="shared" si="150"/>
        <v>1293.31</v>
      </c>
      <c r="M254" s="2"/>
      <c r="N254" s="19">
        <f t="shared" si="151"/>
        <v>0</v>
      </c>
      <c r="O254" s="11"/>
      <c r="P254" s="2">
        <f>--1631.01</f>
        <v>1631.01</v>
      </c>
      <c r="Q254" s="2"/>
      <c r="R254" s="19">
        <f t="shared" si="152"/>
        <v>1.2584251510237488E-4</v>
      </c>
      <c r="S254" s="2"/>
      <c r="T254" s="2">
        <f>0</f>
        <v>0</v>
      </c>
      <c r="U254" s="2"/>
      <c r="V254" s="19">
        <f t="shared" si="153"/>
        <v>0</v>
      </c>
      <c r="W254" s="2"/>
      <c r="X254" s="2">
        <f t="shared" si="154"/>
        <v>1631.01</v>
      </c>
      <c r="Y254" s="2"/>
      <c r="Z254" s="19">
        <f t="shared" si="155"/>
        <v>0</v>
      </c>
    </row>
    <row r="255" spans="1:26" s="24" customFormat="1" hidden="1" outlineLevel="1" x14ac:dyDescent="0.3">
      <c r="A255" s="44"/>
      <c r="B255" s="11" t="str">
        <f>CONCATENATE("          ", "9150", " - ", "MISC. INCOME")</f>
        <v xml:space="preserve">          9150 - MISC. INCOME</v>
      </c>
      <c r="C255" s="11"/>
      <c r="D255" s="2">
        <f>--42617.9</f>
        <v>42617.9</v>
      </c>
      <c r="E255" s="2"/>
      <c r="F255" s="19">
        <f t="shared" si="148"/>
        <v>2.6886067111851306E-2</v>
      </c>
      <c r="G255" s="2"/>
      <c r="H255" s="2">
        <f>--29742.58</f>
        <v>29742.58</v>
      </c>
      <c r="I255" s="2"/>
      <c r="J255" s="19">
        <f t="shared" si="149"/>
        <v>2.0339252415410083E-2</v>
      </c>
      <c r="K255" s="2"/>
      <c r="L255" s="2">
        <f t="shared" si="150"/>
        <v>12875.32</v>
      </c>
      <c r="M255" s="2"/>
      <c r="N255" s="19">
        <f t="shared" si="151"/>
        <v>0.43289183386242885</v>
      </c>
      <c r="O255" s="11"/>
      <c r="P255" s="2">
        <f>--410797.2</f>
        <v>410797.2</v>
      </c>
      <c r="Q255" s="2"/>
      <c r="R255" s="19">
        <f t="shared" si="152"/>
        <v>3.1695546222900724E-2</v>
      </c>
      <c r="S255" s="2"/>
      <c r="T255" s="2">
        <f>--250651.54</f>
        <v>250651.54</v>
      </c>
      <c r="U255" s="2"/>
      <c r="V255" s="19">
        <f t="shared" si="153"/>
        <v>3.7947288175065139E-2</v>
      </c>
      <c r="W255" s="2"/>
      <c r="X255" s="2">
        <f t="shared" si="154"/>
        <v>160145.66</v>
      </c>
      <c r="Y255" s="2"/>
      <c r="Z255" s="19">
        <f t="shared" si="155"/>
        <v>0.63891751871941416</v>
      </c>
    </row>
    <row r="256" spans="1:26" s="24" customFormat="1" hidden="1" outlineLevel="1" x14ac:dyDescent="0.3">
      <c r="A256" s="44"/>
      <c r="B256" s="11" t="str">
        <f>CONCATENATE("          ", "9151", " - ", "MISC. INCOME")</f>
        <v xml:space="preserve">          9151 - MISC. INCOME</v>
      </c>
      <c r="C256" s="11"/>
      <c r="D256" s="2">
        <f>--2958.75</f>
        <v>2958.75</v>
      </c>
      <c r="E256" s="2"/>
      <c r="F256" s="19">
        <f t="shared" si="148"/>
        <v>1.8665666554942887E-3</v>
      </c>
      <c r="G256" s="2"/>
      <c r="H256" s="2">
        <f>--1972</f>
        <v>1972</v>
      </c>
      <c r="I256" s="2"/>
      <c r="J256" s="19">
        <f t="shared" si="149"/>
        <v>1.3485382156890452E-3</v>
      </c>
      <c r="K256" s="2"/>
      <c r="L256" s="2">
        <f t="shared" si="150"/>
        <v>986.75</v>
      </c>
      <c r="M256" s="2"/>
      <c r="N256" s="19">
        <f t="shared" si="151"/>
        <v>0.50038032454361059</v>
      </c>
      <c r="O256" s="11"/>
      <c r="P256" s="2">
        <f>--171422.11</f>
        <v>171422.11</v>
      </c>
      <c r="Q256" s="2"/>
      <c r="R256" s="19">
        <f t="shared" si="152"/>
        <v>1.3226276642421545E-2</v>
      </c>
      <c r="S256" s="2"/>
      <c r="T256" s="2">
        <f>--149257.39</f>
        <v>149257.39000000001</v>
      </c>
      <c r="U256" s="2"/>
      <c r="V256" s="19">
        <f t="shared" si="153"/>
        <v>2.2596761985137159E-2</v>
      </c>
      <c r="W256" s="2"/>
      <c r="X256" s="2">
        <f t="shared" si="154"/>
        <v>22164.719999999972</v>
      </c>
      <c r="Y256" s="2"/>
      <c r="Z256" s="19">
        <f t="shared" si="155"/>
        <v>0.14849998381989643</v>
      </c>
    </row>
    <row r="257" spans="1:26" s="24" customFormat="1" hidden="1" outlineLevel="1" x14ac:dyDescent="0.3">
      <c r="A257" s="44"/>
      <c r="B257" s="11" t="str">
        <f>CONCATENATE("          ", "9152", " - ", "MISC. INCOME")</f>
        <v xml:space="preserve">          9152 - MISC. INCOME</v>
      </c>
      <c r="C257" s="11"/>
      <c r="D257" s="2">
        <f>--366.44</f>
        <v>366.44</v>
      </c>
      <c r="E257" s="2"/>
      <c r="F257" s="19">
        <f t="shared" si="148"/>
        <v>2.3117353113285243E-4</v>
      </c>
      <c r="G257" s="2"/>
      <c r="H257" s="2">
        <f>--146.33</f>
        <v>146.33000000000001</v>
      </c>
      <c r="I257" s="2"/>
      <c r="J257" s="19">
        <f t="shared" si="149"/>
        <v>1.0006673281023226E-4</v>
      </c>
      <c r="K257" s="2"/>
      <c r="L257" s="2">
        <f t="shared" si="150"/>
        <v>220.10999999999999</v>
      </c>
      <c r="M257" s="2"/>
      <c r="N257" s="19">
        <f t="shared" si="151"/>
        <v>1.5042028292216221</v>
      </c>
      <c r="O257" s="11"/>
      <c r="P257" s="2">
        <f>--3493.54</f>
        <v>3493.54</v>
      </c>
      <c r="Q257" s="2"/>
      <c r="R257" s="19">
        <f t="shared" si="152"/>
        <v>2.6954823098003733E-4</v>
      </c>
      <c r="S257" s="2"/>
      <c r="T257" s="2">
        <f>--3232.26</f>
        <v>3232.26</v>
      </c>
      <c r="U257" s="2"/>
      <c r="V257" s="19">
        <f t="shared" si="153"/>
        <v>4.8934669093489728E-4</v>
      </c>
      <c r="W257" s="2"/>
      <c r="X257" s="2">
        <f t="shared" si="154"/>
        <v>261.27999999999975</v>
      </c>
      <c r="Y257" s="2"/>
      <c r="Z257" s="19">
        <f t="shared" si="155"/>
        <v>8.0835081336278564E-2</v>
      </c>
    </row>
    <row r="258" spans="1:26" s="24" customFormat="1" hidden="1" outlineLevel="1" x14ac:dyDescent="0.3">
      <c r="A258" s="44"/>
      <c r="B258" s="11" t="str">
        <f>CONCATENATE("          ", "9160", " - ", "MISC. INCOME")</f>
        <v xml:space="preserve">          9160 - MISC. INCOME</v>
      </c>
      <c r="C258" s="11"/>
      <c r="D258" s="2">
        <f>0</f>
        <v>0</v>
      </c>
      <c r="E258" s="2"/>
      <c r="F258" s="19">
        <f t="shared" si="148"/>
        <v>0</v>
      </c>
      <c r="G258" s="2"/>
      <c r="H258" s="2">
        <f>--189.92</f>
        <v>189.92</v>
      </c>
      <c r="I258" s="2"/>
      <c r="J258" s="19">
        <f t="shared" si="149"/>
        <v>1.2987544519455551E-4</v>
      </c>
      <c r="K258" s="2"/>
      <c r="L258" s="2">
        <f t="shared" si="150"/>
        <v>-189.92</v>
      </c>
      <c r="M258" s="2"/>
      <c r="N258" s="19">
        <f t="shared" si="151"/>
        <v>-1</v>
      </c>
      <c r="O258" s="11"/>
      <c r="P258" s="2">
        <f>0</f>
        <v>0</v>
      </c>
      <c r="Q258" s="2"/>
      <c r="R258" s="19">
        <f t="shared" si="152"/>
        <v>0</v>
      </c>
      <c r="S258" s="2"/>
      <c r="T258" s="2">
        <f>--12518.17</f>
        <v>12518.17</v>
      </c>
      <c r="U258" s="2"/>
      <c r="V258" s="19">
        <f t="shared" si="153"/>
        <v>1.8951832668351255E-3</v>
      </c>
      <c r="W258" s="2"/>
      <c r="X258" s="2">
        <f t="shared" si="154"/>
        <v>-12518.17</v>
      </c>
      <c r="Y258" s="2"/>
      <c r="Z258" s="19">
        <f t="shared" si="155"/>
        <v>-1</v>
      </c>
    </row>
    <row r="259" spans="1:26" s="24" customFormat="1" hidden="1" outlineLevel="1" x14ac:dyDescent="0.3">
      <c r="A259" s="44"/>
      <c r="B259" s="11" t="str">
        <f>CONCATENATE("          ", "9163", " - ", "MISC. INCOME")</f>
        <v xml:space="preserve">          9163 - MISC. INCOME</v>
      </c>
      <c r="C259" s="11"/>
      <c r="D259" s="2">
        <f>--7027.5</f>
        <v>7027.5</v>
      </c>
      <c r="E259" s="2"/>
      <c r="F259" s="19">
        <f t="shared" si="148"/>
        <v>4.4333915239496789E-3</v>
      </c>
      <c r="G259" s="2"/>
      <c r="H259" s="2">
        <f>0</f>
        <v>0</v>
      </c>
      <c r="I259" s="2"/>
      <c r="J259" s="19">
        <f t="shared" si="149"/>
        <v>0</v>
      </c>
      <c r="K259" s="2"/>
      <c r="L259" s="2">
        <f t="shared" si="150"/>
        <v>7027.5</v>
      </c>
      <c r="M259" s="2"/>
      <c r="N259" s="19">
        <f t="shared" si="151"/>
        <v>0</v>
      </c>
      <c r="O259" s="11"/>
      <c r="P259" s="2">
        <f>--79775.7</f>
        <v>79775.7</v>
      </c>
      <c r="Q259" s="2"/>
      <c r="R259" s="19">
        <f t="shared" si="152"/>
        <v>6.1551889516634024E-3</v>
      </c>
      <c r="S259" s="2"/>
      <c r="T259" s="2">
        <f>--175405.84</f>
        <v>175405.84</v>
      </c>
      <c r="U259" s="2"/>
      <c r="V259" s="19">
        <f t="shared" si="153"/>
        <v>2.6555495960923946E-2</v>
      </c>
      <c r="W259" s="2"/>
      <c r="X259" s="2">
        <f t="shared" si="154"/>
        <v>-95630.14</v>
      </c>
      <c r="Y259" s="2"/>
      <c r="Z259" s="19">
        <f t="shared" si="155"/>
        <v>-0.54519359218598429</v>
      </c>
    </row>
    <row r="260" spans="1:26" s="24" customFormat="1" hidden="1" outlineLevel="1" x14ac:dyDescent="0.3">
      <c r="A260" s="44"/>
      <c r="B260" s="11" t="str">
        <f>CONCATENATE("          ", "9165", " - ", "OTHER INCOME")</f>
        <v xml:space="preserve">          9165 - OTHER INCOME</v>
      </c>
      <c r="C260" s="11"/>
      <c r="D260" s="2">
        <f>0</f>
        <v>0</v>
      </c>
      <c r="E260" s="2"/>
      <c r="F260" s="19">
        <f t="shared" si="148"/>
        <v>0</v>
      </c>
      <c r="G260" s="2"/>
      <c r="H260" s="2">
        <f>--786.95</f>
        <v>786.95</v>
      </c>
      <c r="I260" s="2"/>
      <c r="J260" s="19">
        <f t="shared" si="149"/>
        <v>5.3815017689477394E-4</v>
      </c>
      <c r="K260" s="2"/>
      <c r="L260" s="2">
        <f t="shared" si="150"/>
        <v>-786.95</v>
      </c>
      <c r="M260" s="2"/>
      <c r="N260" s="19">
        <f t="shared" si="151"/>
        <v>-1</v>
      </c>
      <c r="O260" s="11"/>
      <c r="P260" s="2">
        <f>0</f>
        <v>0</v>
      </c>
      <c r="Q260" s="2"/>
      <c r="R260" s="19">
        <f t="shared" si="152"/>
        <v>0</v>
      </c>
      <c r="S260" s="2"/>
      <c r="T260" s="2">
        <f>--2102.12</f>
        <v>2102.12</v>
      </c>
      <c r="U260" s="2"/>
      <c r="V260" s="19">
        <f t="shared" si="153"/>
        <v>3.1824960428556678E-4</v>
      </c>
      <c r="W260" s="2"/>
      <c r="X260" s="2">
        <f t="shared" si="154"/>
        <v>-2102.12</v>
      </c>
      <c r="Y260" s="2"/>
      <c r="Z260" s="19">
        <f t="shared" si="155"/>
        <v>-1</v>
      </c>
    </row>
    <row r="261" spans="1:26" x14ac:dyDescent="0.3">
      <c r="A261" s="9"/>
      <c r="B261" s="10"/>
      <c r="C261" s="10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O261" s="10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3">
      <c r="A262" s="10"/>
      <c r="B262" s="25" t="s">
        <v>276</v>
      </c>
      <c r="C262" s="25"/>
      <c r="D262" s="21">
        <f>+D153-D155+D252</f>
        <v>-7582.5500000000684</v>
      </c>
      <c r="E262" s="13"/>
      <c r="F262" s="22">
        <f>IF(D$12=0,0,D262/D$12)</f>
        <v>-4.7835521735930192E-3</v>
      </c>
      <c r="G262" s="13"/>
      <c r="H262" s="21">
        <f>+H153-H155+H252</f>
        <v>-65811.589999999647</v>
      </c>
      <c r="I262" s="13"/>
      <c r="J262" s="22">
        <f>IF(H$12=0,0,H262/H$12)</f>
        <v>-4.5004789122849158E-2</v>
      </c>
      <c r="K262" s="15"/>
      <c r="L262" s="21">
        <f>+D262-H262</f>
        <v>58229.039999999579</v>
      </c>
      <c r="M262" s="15"/>
      <c r="N262" s="22">
        <f>IF(H262=0,0,L262/H262)</f>
        <v>-0.88478397194171865</v>
      </c>
      <c r="O262" s="26"/>
      <c r="P262" s="21">
        <f>+P153-P155+P252</f>
        <v>1059806.850000002</v>
      </c>
      <c r="Q262" s="13"/>
      <c r="R262" s="22">
        <f>IF(P$12=0,0,P262/P$12)</f>
        <v>8.1770657155214005E-2</v>
      </c>
      <c r="S262" s="13"/>
      <c r="T262" s="21">
        <f>+T153-T155+T252</f>
        <v>-1814624.9700000025</v>
      </c>
      <c r="U262" s="13"/>
      <c r="V262" s="22">
        <f>IF(T$12=0,0,T262/T$12)</f>
        <v>-0.27472441089433969</v>
      </c>
      <c r="W262" s="15"/>
      <c r="X262" s="21">
        <f>+P262-T262</f>
        <v>2874431.8200000045</v>
      </c>
      <c r="Y262" s="15"/>
      <c r="Z262" s="22">
        <f>IF(T262=0,0,X262/T262)</f>
        <v>-1.584036298144845</v>
      </c>
    </row>
    <row r="263" spans="1:26" x14ac:dyDescent="0.3">
      <c r="A263" s="9"/>
      <c r="B263" s="10"/>
      <c r="C263" s="9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x14ac:dyDescent="0.3">
      <c r="A264" s="51"/>
      <c r="B264" s="10" t="s">
        <v>127</v>
      </c>
      <c r="C264" s="10"/>
      <c r="D264" s="4">
        <v>346287.75</v>
      </c>
      <c r="E264" s="4"/>
      <c r="F264" s="12">
        <f>IF(D$12=0,0,D264/D$12)</f>
        <v>0.21846021710389263</v>
      </c>
      <c r="G264" s="4"/>
      <c r="H264" s="4">
        <v>247477.45</v>
      </c>
      <c r="I264" s="4"/>
      <c r="J264" s="12">
        <f>IF(H$12=0,0,H264/H$12)</f>
        <v>0.16923569921210696</v>
      </c>
      <c r="K264" s="4"/>
      <c r="L264" s="4">
        <f>+D264-H264</f>
        <v>98810.299999999988</v>
      </c>
      <c r="M264" s="4"/>
      <c r="N264" s="12">
        <f>IF(H264=0,0,L264/H264)</f>
        <v>0.39926991327896738</v>
      </c>
      <c r="O264" s="10"/>
      <c r="P264" s="4">
        <v>1715577.05</v>
      </c>
      <c r="Q264" s="4"/>
      <c r="R264" s="12">
        <f>IF(P$12=0,0,P264/P$12)</f>
        <v>0.13236738635809267</v>
      </c>
      <c r="S264" s="4"/>
      <c r="T264" s="4">
        <v>1199028.6599999999</v>
      </c>
      <c r="U264" s="4"/>
      <c r="V264" s="12">
        <f>IF(T$12=0,0,T264/T$12)</f>
        <v>0.18152645737258263</v>
      </c>
      <c r="W264" s="4"/>
      <c r="X264" s="4">
        <f>+P264-T264</f>
        <v>516548.39000000013</v>
      </c>
      <c r="Y264" s="4"/>
      <c r="Z264" s="12">
        <f>IF(T264=0,0,X264/T264)</f>
        <v>0.43080570734647844</v>
      </c>
    </row>
    <row r="265" spans="1:26" x14ac:dyDescent="0.3">
      <c r="A265" s="9"/>
      <c r="B265" s="10"/>
      <c r="C265" s="10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O265" s="10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ht="15" thickBot="1" x14ac:dyDescent="0.35">
      <c r="A266" s="10"/>
      <c r="B266" s="25" t="s">
        <v>125</v>
      </c>
      <c r="C266" s="25"/>
      <c r="D266" s="36">
        <f>+D262-D264</f>
        <v>-353870.30000000005</v>
      </c>
      <c r="E266" s="13"/>
      <c r="F266" s="31">
        <f>IF(D$12=0,0,D266/D$12)</f>
        <v>-0.22324376927748565</v>
      </c>
      <c r="G266" s="13"/>
      <c r="H266" s="36">
        <f>+H262-H264</f>
        <v>-313289.03999999969</v>
      </c>
      <c r="I266" s="13"/>
      <c r="J266" s="31">
        <f>IF(H$12=0,0,H266/H$12)</f>
        <v>-0.21424048833495615</v>
      </c>
      <c r="K266" s="15"/>
      <c r="L266" s="36">
        <f>D266-H266</f>
        <v>-40581.260000000359</v>
      </c>
      <c r="M266" s="15"/>
      <c r="N266" s="31">
        <f>IF(H266=0,0,L266/H266)</f>
        <v>0.12953297057567159</v>
      </c>
      <c r="O266" s="26"/>
      <c r="P266" s="36">
        <f>+P262-P264</f>
        <v>-655770.19999999809</v>
      </c>
      <c r="Q266" s="13"/>
      <c r="R266" s="31">
        <f>IF(P$12=0,0,P266/P$12)</f>
        <v>-5.0596729202878672E-2</v>
      </c>
      <c r="S266" s="13"/>
      <c r="T266" s="36">
        <f>+T262-T264</f>
        <v>-3013653.6300000027</v>
      </c>
      <c r="U266" s="13"/>
      <c r="V266" s="31">
        <f>IF(T$12=0,0,T266/T$12)</f>
        <v>-0.4562508682669224</v>
      </c>
      <c r="W266" s="15"/>
      <c r="X266" s="36">
        <f>P266-T266</f>
        <v>2357883.4300000044</v>
      </c>
      <c r="Y266" s="15"/>
      <c r="Z266" s="31">
        <f>IF(T266=0,0,X266/T266)</f>
        <v>-0.78240027537603996</v>
      </c>
    </row>
    <row r="267" spans="1:26" ht="15" thickTop="1" x14ac:dyDescent="0.3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x14ac:dyDescent="0.3">
      <c r="A268" s="51"/>
      <c r="B268" s="10" t="s">
        <v>183</v>
      </c>
      <c r="C268" s="10"/>
      <c r="D268" s="4">
        <f>-529057.18</f>
        <v>-529057.18000000005</v>
      </c>
      <c r="E268" s="4"/>
      <c r="F268" s="12">
        <f t="shared" ref="F268:F269" si="156">IF(D$12=0,0,D268/D$12)</f>
        <v>-0.33376273461354961</v>
      </c>
      <c r="G268" s="4"/>
      <c r="H268" s="4">
        <f>-35869.32</f>
        <v>-35869.32</v>
      </c>
      <c r="I268" s="4"/>
      <c r="J268" s="12">
        <f t="shared" ref="J268:J269" si="157">IF(H$12=0,0,H268/H$12)</f>
        <v>-2.4528980117028087E-2</v>
      </c>
      <c r="K268" s="4"/>
      <c r="L268" s="4">
        <f t="shared" ref="L268:L269" si="158">+D268-H268</f>
        <v>-493187.86000000004</v>
      </c>
      <c r="M268" s="4"/>
      <c r="N268" s="12">
        <f t="shared" ref="N268:N269" si="159">IF(H268=0,0,L268/H268)</f>
        <v>13.749573730419201</v>
      </c>
      <c r="O268" s="10"/>
      <c r="P268" s="4">
        <f>-614193.88</f>
        <v>-614193.88</v>
      </c>
      <c r="Q268" s="4"/>
      <c r="R268" s="12">
        <f t="shared" ref="R268:R269" si="160">IF(P$12=0,0,P268/P$12)</f>
        <v>-4.7388858817350117E-2</v>
      </c>
      <c r="S268" s="4"/>
      <c r="T268" s="4">
        <f>--1958183.98</f>
        <v>1958183.98</v>
      </c>
      <c r="U268" s="4"/>
      <c r="V268" s="12">
        <f t="shared" ref="V268:V269" si="161">IF(T$12=0,0,T268/T$12)</f>
        <v>0.29645846895198003</v>
      </c>
      <c r="W268" s="4"/>
      <c r="X268" s="4">
        <f t="shared" ref="X268:X269" si="162">+P268-T268</f>
        <v>-2572377.86</v>
      </c>
      <c r="Y268" s="4"/>
      <c r="Z268" s="12">
        <f t="shared" ref="Z268:Z269" si="163">IF(T268=0,0,X268/T268)</f>
        <v>-1.3136548384999043</v>
      </c>
    </row>
    <row r="269" spans="1:26" s="23" customFormat="1" x14ac:dyDescent="0.3">
      <c r="A269" s="51"/>
      <c r="B269" s="10" t="s">
        <v>81</v>
      </c>
      <c r="C269" s="10"/>
      <c r="D269" s="4">
        <f>--2124202.74</f>
        <v>2124202.7400000002</v>
      </c>
      <c r="E269" s="4"/>
      <c r="F269" s="12">
        <f t="shared" si="156"/>
        <v>1.340081454666195</v>
      </c>
      <c r="G269" s="4"/>
      <c r="H269" s="4">
        <f>--10065.17</f>
        <v>10065.17</v>
      </c>
      <c r="I269" s="4"/>
      <c r="J269" s="12">
        <f t="shared" si="157"/>
        <v>6.8829951279953897E-3</v>
      </c>
      <c r="K269" s="4"/>
      <c r="L269" s="4">
        <f t="shared" si="158"/>
        <v>2114137.5700000003</v>
      </c>
      <c r="M269" s="4"/>
      <c r="N269" s="12">
        <f t="shared" si="159"/>
        <v>210.04489442304504</v>
      </c>
      <c r="O269" s="10"/>
      <c r="P269" s="4">
        <f>--2309610.44</f>
        <v>2309610.44</v>
      </c>
      <c r="Q269" s="4"/>
      <c r="R269" s="12">
        <f t="shared" si="160"/>
        <v>0.17820073860755156</v>
      </c>
      <c r="S269" s="4"/>
      <c r="T269" s="4">
        <f>--54576</f>
        <v>54576</v>
      </c>
      <c r="U269" s="4"/>
      <c r="V269" s="12">
        <f t="shared" si="161"/>
        <v>8.2625113711344237E-3</v>
      </c>
      <c r="W269" s="4"/>
      <c r="X269" s="4">
        <f t="shared" si="162"/>
        <v>2255034.44</v>
      </c>
      <c r="Y269" s="4"/>
      <c r="Z269" s="12">
        <f t="shared" si="163"/>
        <v>41.319159337437704</v>
      </c>
    </row>
    <row r="270" spans="1:26" x14ac:dyDescent="0.3">
      <c r="A270" s="9"/>
      <c r="B270" s="9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" thickBot="1" x14ac:dyDescent="0.35">
      <c r="A271" s="10"/>
      <c r="B271" s="25" t="s">
        <v>293</v>
      </c>
      <c r="C271" s="25"/>
      <c r="D271" s="35">
        <f>SUM(D266:D270)</f>
        <v>1241275.2600000002</v>
      </c>
      <c r="E271" s="13"/>
      <c r="F271" s="32">
        <f>IF(D$12=0,0,D271/D$12)</f>
        <v>0.78307495077515976</v>
      </c>
      <c r="G271" s="13"/>
      <c r="H271" s="35">
        <f>SUM(H266:H270)</f>
        <v>-339093.18999999971</v>
      </c>
      <c r="I271" s="13"/>
      <c r="J271" s="32">
        <f>IF(H$12=0,0,H271/H$12)</f>
        <v>-0.23188647332398885</v>
      </c>
      <c r="K271" s="15"/>
      <c r="L271" s="35">
        <f>+D271-H271</f>
        <v>1580368.45</v>
      </c>
      <c r="M271" s="15"/>
      <c r="N271" s="32">
        <f>IF(H271=0,0,L271/H271)</f>
        <v>-4.6605726585072418</v>
      </c>
      <c r="O271" s="26"/>
      <c r="P271" s="35">
        <f>SUM(P266:P270)</f>
        <v>1039646.3600000017</v>
      </c>
      <c r="Q271" s="13"/>
      <c r="R271" s="32">
        <f>IF(P$12=0,0,P271/P$12)</f>
        <v>8.0215150587322745E-2</v>
      </c>
      <c r="S271" s="13"/>
      <c r="T271" s="35">
        <f>SUM(T266:T270)</f>
        <v>-1000893.6500000027</v>
      </c>
      <c r="U271" s="13"/>
      <c r="V271" s="32">
        <f>IF(T$12=0,0,T271/T$12)</f>
        <v>-0.15152988794380792</v>
      </c>
      <c r="W271" s="15"/>
      <c r="X271" s="35">
        <f>+P271-T271</f>
        <v>2040540.0100000044</v>
      </c>
      <c r="Y271" s="15"/>
      <c r="Z271" s="32">
        <f>IF(T271=0,0,X271/T271)</f>
        <v>-2.0387181095613895</v>
      </c>
    </row>
    <row r="272" spans="1:26" ht="15" thickTop="1" x14ac:dyDescent="0.3">
      <c r="A272" s="9"/>
      <c r="C272" s="9"/>
      <c r="D272" s="17"/>
      <c r="E272" s="17"/>
      <c r="G272" s="17"/>
      <c r="H272" s="17"/>
      <c r="I272" s="17"/>
      <c r="J272" s="42"/>
      <c r="K272" s="17"/>
      <c r="L272" s="17"/>
      <c r="M272" s="17"/>
      <c r="P272" s="17"/>
      <c r="Q272" s="17"/>
      <c r="R272" s="42"/>
      <c r="S272" s="17"/>
      <c r="T272" s="17"/>
      <c r="U272" s="17"/>
      <c r="V272" s="42"/>
      <c r="W272" s="17"/>
      <c r="X272" s="17"/>
    </row>
    <row r="273" spans="1:24" x14ac:dyDescent="0.3">
      <c r="A273" s="9"/>
      <c r="B273" s="54">
        <v>44604.028415011577</v>
      </c>
      <c r="D273" s="17"/>
      <c r="E273" s="17"/>
      <c r="G273" s="17"/>
      <c r="H273" s="17"/>
      <c r="I273" s="17"/>
      <c r="J273" s="42"/>
      <c r="K273" s="17"/>
      <c r="L273" s="17"/>
      <c r="M273" s="17"/>
      <c r="P273" s="17"/>
      <c r="Q273" s="17"/>
      <c r="R273" s="42"/>
      <c r="S273" s="17"/>
      <c r="T273" s="17"/>
      <c r="U273" s="17"/>
      <c r="V273" s="42"/>
      <c r="W273" s="17"/>
      <c r="X273" s="17"/>
    </row>
    <row r="274" spans="1:24" x14ac:dyDescent="0.3">
      <c r="A274" s="9"/>
      <c r="B274" s="53" t="s">
        <v>56</v>
      </c>
      <c r="D274" s="17"/>
      <c r="E274" s="17"/>
      <c r="G274" s="17"/>
      <c r="H274" s="17"/>
      <c r="I274" s="17"/>
      <c r="J274" s="42"/>
      <c r="K274" s="17"/>
      <c r="L274" s="17"/>
      <c r="M274" s="17"/>
      <c r="P274" s="17"/>
      <c r="Q274" s="17"/>
      <c r="R274" s="42"/>
      <c r="S274" s="17"/>
      <c r="T274" s="17"/>
      <c r="U274" s="17"/>
      <c r="V274" s="42"/>
      <c r="W274" s="17"/>
      <c r="X274" s="17"/>
    </row>
    <row r="275" spans="1:24" x14ac:dyDescent="0.3">
      <c r="A275" s="9"/>
      <c r="B275" s="59"/>
      <c r="D275" s="17"/>
      <c r="E275" s="17"/>
      <c r="G275" s="17"/>
      <c r="H275" s="17"/>
      <c r="I275" s="17"/>
      <c r="J275" s="42"/>
      <c r="K275" s="17"/>
      <c r="L275" s="17"/>
      <c r="M275" s="17"/>
      <c r="P275" s="17"/>
      <c r="Q275" s="17"/>
      <c r="R275" s="42"/>
      <c r="S275" s="17"/>
      <c r="T275" s="17"/>
      <c r="U275" s="17"/>
      <c r="V275" s="42"/>
      <c r="W275" s="17"/>
      <c r="X275" s="17"/>
    </row>
    <row r="276" spans="1:24" x14ac:dyDescent="0.3">
      <c r="D276" s="17"/>
      <c r="E276" s="17"/>
      <c r="G276" s="17"/>
      <c r="H276" s="17"/>
      <c r="I276" s="17"/>
      <c r="J276" s="42"/>
      <c r="K276" s="17"/>
      <c r="L276" s="17"/>
      <c r="M276" s="17"/>
      <c r="P276" s="17"/>
      <c r="Q276" s="17"/>
      <c r="R276" s="42"/>
      <c r="S276" s="17"/>
      <c r="T276" s="17"/>
      <c r="U276" s="17"/>
      <c r="V276" s="42"/>
      <c r="W276" s="17"/>
      <c r="X276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","100", " - ", "Corporate")</f>
        <v>Department 100 - Corporate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5" t="s">
        <v>125</v>
      </c>
      <c r="C26" s="25"/>
      <c r="D26" s="36">
        <f>+D22-D24</f>
        <v>0</v>
      </c>
      <c r="E26" s="13"/>
      <c r="F26" s="31">
        <f>IF(D$12=0,0,D26/D$12)</f>
        <v>0</v>
      </c>
      <c r="G26" s="13"/>
      <c r="H26" s="36">
        <f>+H22-H24</f>
        <v>0</v>
      </c>
      <c r="I26" s="13"/>
      <c r="J26" s="31">
        <f>IF(H$12=0,0,H26/H$12)</f>
        <v>0</v>
      </c>
      <c r="K26" s="15"/>
      <c r="L26" s="36">
        <f>D26-H26</f>
        <v>0</v>
      </c>
      <c r="M26" s="15"/>
      <c r="N26" s="31">
        <f>IF(H26=0,0,L26/H26)</f>
        <v>0</v>
      </c>
      <c r="O26" s="26"/>
      <c r="P26" s="36">
        <f>+P22-P24</f>
        <v>0</v>
      </c>
      <c r="Q26" s="13"/>
      <c r="R26" s="31">
        <f>IF(P$12=0,0,P26/P$12)</f>
        <v>0</v>
      </c>
      <c r="S26" s="13"/>
      <c r="T26" s="36">
        <f>+T22-T24</f>
        <v>0</v>
      </c>
      <c r="U26" s="13"/>
      <c r="V26" s="31">
        <f>IF(T$12=0,0,T26/T$12)</f>
        <v>0</v>
      </c>
      <c r="W26" s="15"/>
      <c r="X26" s="36">
        <f>P26-T26</f>
        <v>0</v>
      </c>
      <c r="Y26" s="15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-529057.18</f>
        <v>-529057.18000000005</v>
      </c>
      <c r="E28" s="4"/>
      <c r="F28" s="12">
        <f t="shared" ref="F28:F29" si="0">IF(D$12=0,0,D28/D$12)</f>
        <v>0</v>
      </c>
      <c r="G28" s="4"/>
      <c r="H28" s="4">
        <f>-35869.32</f>
        <v>-35869.32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-493187.86000000004</v>
      </c>
      <c r="M28" s="4"/>
      <c r="N28" s="12">
        <f t="shared" ref="N28:N29" si="3">IF(H28=0,0,L28/H28)</f>
        <v>13.749573730419201</v>
      </c>
      <c r="O28" s="10"/>
      <c r="P28" s="4">
        <f>-614193.88</f>
        <v>-614193.88</v>
      </c>
      <c r="Q28" s="4"/>
      <c r="R28" s="12">
        <f t="shared" ref="R28:R29" si="4">IF(P$12=0,0,P28/P$12)</f>
        <v>0</v>
      </c>
      <c r="S28" s="4"/>
      <c r="T28" s="4">
        <f>--1958183.98</f>
        <v>1958183.98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-2572377.86</v>
      </c>
      <c r="Y28" s="4"/>
      <c r="Z28" s="12">
        <f t="shared" ref="Z28:Z29" si="7">IF(T28=0,0,X28/T28)</f>
        <v>-1.3136548384999043</v>
      </c>
    </row>
    <row r="29" spans="1:26" s="23" customFormat="1" x14ac:dyDescent="0.3">
      <c r="A29" s="51"/>
      <c r="B29" s="10" t="s">
        <v>81</v>
      </c>
      <c r="C29" s="10"/>
      <c r="D29" s="4">
        <f>--2124202.74</f>
        <v>2124202.7400000002</v>
      </c>
      <c r="E29" s="4"/>
      <c r="F29" s="12">
        <f t="shared" si="0"/>
        <v>0</v>
      </c>
      <c r="G29" s="4"/>
      <c r="H29" s="4">
        <f>--10065.17</f>
        <v>10065.17</v>
      </c>
      <c r="I29" s="4"/>
      <c r="J29" s="12">
        <f t="shared" si="1"/>
        <v>0</v>
      </c>
      <c r="K29" s="4"/>
      <c r="L29" s="4">
        <f t="shared" si="2"/>
        <v>2114137.5700000003</v>
      </c>
      <c r="M29" s="4"/>
      <c r="N29" s="12">
        <f t="shared" si="3"/>
        <v>210.04489442304504</v>
      </c>
      <c r="O29" s="10"/>
      <c r="P29" s="4">
        <f>--2309610.44</f>
        <v>2309610.44</v>
      </c>
      <c r="Q29" s="4"/>
      <c r="R29" s="12">
        <f t="shared" si="4"/>
        <v>0</v>
      </c>
      <c r="S29" s="4"/>
      <c r="T29" s="4">
        <f>--54576</f>
        <v>54576</v>
      </c>
      <c r="U29" s="4"/>
      <c r="V29" s="12">
        <f t="shared" si="5"/>
        <v>0</v>
      </c>
      <c r="W29" s="4"/>
      <c r="X29" s="4">
        <f t="shared" si="6"/>
        <v>2255034.44</v>
      </c>
      <c r="Y29" s="4"/>
      <c r="Z29" s="12">
        <f t="shared" si="7"/>
        <v>41.319159337437704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5">
        <f>SUM(D26:D30)</f>
        <v>1595145.56</v>
      </c>
      <c r="E31" s="13"/>
      <c r="F31" s="32">
        <f>IF(D$12=0,0,D31/D$12)</f>
        <v>0</v>
      </c>
      <c r="G31" s="13"/>
      <c r="H31" s="35">
        <f>SUM(H26:H30)</f>
        <v>-25804.15</v>
      </c>
      <c r="I31" s="13"/>
      <c r="J31" s="32">
        <f>IF(H$12=0,0,H31/H$12)</f>
        <v>0</v>
      </c>
      <c r="K31" s="15"/>
      <c r="L31" s="35">
        <f>+D31-H31</f>
        <v>1620949.71</v>
      </c>
      <c r="M31" s="15"/>
      <c r="N31" s="32">
        <f>IF(H31=0,0,L31/H31)</f>
        <v>-62.817403789700492</v>
      </c>
      <c r="O31" s="26"/>
      <c r="P31" s="35">
        <f>SUM(P26:P30)</f>
        <v>1695416.56</v>
      </c>
      <c r="Q31" s="13"/>
      <c r="R31" s="32">
        <f>IF(P$12=0,0,P31/P$12)</f>
        <v>0</v>
      </c>
      <c r="S31" s="13"/>
      <c r="T31" s="35">
        <f>SUM(T26:T30)</f>
        <v>2012759.98</v>
      </c>
      <c r="U31" s="13"/>
      <c r="V31" s="32">
        <f>IF(T$12=0,0,T31/T$12)</f>
        <v>0</v>
      </c>
      <c r="W31" s="15"/>
      <c r="X31" s="35">
        <f>+P31-T31</f>
        <v>-317343.41999999993</v>
      </c>
      <c r="Y31" s="15"/>
      <c r="Z31" s="32">
        <f>IF(T31=0,0,X31/T31)</f>
        <v>-0.15766580374874103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4">
        <v>44604.028475694446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3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346287.75</v>
      </c>
      <c r="E18" s="20"/>
      <c r="F18" s="30">
        <f t="shared" ref="F18:F30" si="0">IF(D$12=0,0,D18/D$12)</f>
        <v>0</v>
      </c>
      <c r="G18" s="20"/>
      <c r="H18" s="20">
        <f>SUM(OSRRefH22x_0)</f>
        <v>247477.45</v>
      </c>
      <c r="I18" s="20"/>
      <c r="J18" s="30">
        <f t="shared" ref="J18:J30" si="1">IF(H$12=0,0,H18/H$12)</f>
        <v>0</v>
      </c>
      <c r="K18" s="4"/>
      <c r="L18" s="20">
        <f t="shared" ref="L18:L30" si="2">+D18-H18</f>
        <v>98810.299999999988</v>
      </c>
      <c r="M18" s="4"/>
      <c r="N18" s="30">
        <f t="shared" ref="N18:N30" si="3">IF(H18=0,0,L18/H18)</f>
        <v>0.39926991327896738</v>
      </c>
      <c r="O18" s="10"/>
      <c r="P18" s="20">
        <f>SUM(OSRRefP22x_0)</f>
        <v>1715577.0499999998</v>
      </c>
      <c r="Q18" s="20"/>
      <c r="R18" s="30">
        <f t="shared" ref="R18:R30" si="4">IF(P$12=0,0,P18/P$12)</f>
        <v>0</v>
      </c>
      <c r="S18" s="20"/>
      <c r="T18" s="20">
        <f>SUM(OSRRefT22x_0)</f>
        <v>1199028.6599999999</v>
      </c>
      <c r="U18" s="20"/>
      <c r="V18" s="30">
        <f t="shared" ref="V18:V30" si="5">IF(T$12=0,0,T18/T$12)</f>
        <v>0</v>
      </c>
      <c r="W18" s="4"/>
      <c r="X18" s="20">
        <f t="shared" ref="X18:X30" si="6">+P18-T18</f>
        <v>516548.3899999999</v>
      </c>
      <c r="Y18" s="4"/>
      <c r="Z18" s="30">
        <f t="shared" ref="Z18:Z30" si="7">IF(T18=0,0,X18/T18)</f>
        <v>0.43080570734647822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125390.64</v>
      </c>
      <c r="E19" s="1"/>
      <c r="F19" s="5">
        <f t="shared" si="0"/>
        <v>0</v>
      </c>
      <c r="G19" s="1"/>
      <c r="H19" s="1">
        <f>SUM(OSRRefH22_0x_0)</f>
        <v>79841.319999999992</v>
      </c>
      <c r="I19" s="1"/>
      <c r="J19" s="5">
        <f t="shared" si="1"/>
        <v>0</v>
      </c>
      <c r="K19" s="1"/>
      <c r="L19" s="1">
        <f t="shared" si="2"/>
        <v>45549.320000000007</v>
      </c>
      <c r="M19" s="1"/>
      <c r="N19" s="5">
        <f t="shared" si="3"/>
        <v>0.57049808294752657</v>
      </c>
      <c r="O19" s="14"/>
      <c r="P19" s="1">
        <f>SUM(OSRRefP22_0x_0)</f>
        <v>617651.80000000005</v>
      </c>
      <c r="Q19" s="1"/>
      <c r="R19" s="5">
        <f t="shared" si="4"/>
        <v>0</v>
      </c>
      <c r="S19" s="1"/>
      <c r="T19" s="1">
        <f>SUM(OSRRefT22_0x_0)</f>
        <v>185317.37999999995</v>
      </c>
      <c r="U19" s="1"/>
      <c r="V19" s="5">
        <f t="shared" si="5"/>
        <v>0</v>
      </c>
      <c r="W19" s="1"/>
      <c r="X19" s="1">
        <f t="shared" si="6"/>
        <v>432334.4200000001</v>
      </c>
      <c r="Y19" s="1"/>
      <c r="Z19" s="5">
        <f t="shared" si="7"/>
        <v>2.3329404937626479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11286.93</v>
      </c>
      <c r="E20" s="2"/>
      <c r="F20" s="6">
        <f t="shared" si="0"/>
        <v>0</v>
      </c>
      <c r="G20" s="2"/>
      <c r="H20" s="7">
        <v>7001.48</v>
      </c>
      <c r="I20" s="2"/>
      <c r="J20" s="6">
        <f t="shared" si="1"/>
        <v>0</v>
      </c>
      <c r="K20" s="2"/>
      <c r="L20" s="7">
        <f t="shared" si="2"/>
        <v>4285.4500000000007</v>
      </c>
      <c r="M20" s="2"/>
      <c r="N20" s="6">
        <f t="shared" si="3"/>
        <v>0.61207773213663408</v>
      </c>
      <c r="O20" s="11"/>
      <c r="P20" s="7">
        <v>57133.08</v>
      </c>
      <c r="Q20" s="2"/>
      <c r="R20" s="6">
        <f t="shared" si="4"/>
        <v>0</v>
      </c>
      <c r="S20" s="2"/>
      <c r="T20" s="7">
        <v>54835.81</v>
      </c>
      <c r="U20" s="2"/>
      <c r="V20" s="6">
        <f t="shared" si="5"/>
        <v>0</v>
      </c>
      <c r="W20" s="2"/>
      <c r="X20" s="7">
        <f t="shared" si="6"/>
        <v>2297.2700000000041</v>
      </c>
      <c r="Y20" s="2"/>
      <c r="Z20" s="6">
        <f t="shared" si="7"/>
        <v>4.1893609303847328E-2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2089.08</v>
      </c>
      <c r="E21" s="2"/>
      <c r="F21" s="6">
        <f t="shared" si="0"/>
        <v>0</v>
      </c>
      <c r="G21" s="2"/>
      <c r="H21" s="7">
        <v>9.9600000000000009</v>
      </c>
      <c r="I21" s="2"/>
      <c r="J21" s="6">
        <f t="shared" si="1"/>
        <v>0</v>
      </c>
      <c r="K21" s="2"/>
      <c r="L21" s="7">
        <f t="shared" si="2"/>
        <v>2079.12</v>
      </c>
      <c r="M21" s="2"/>
      <c r="N21" s="6">
        <f t="shared" si="3"/>
        <v>208.7469879518072</v>
      </c>
      <c r="O21" s="11"/>
      <c r="P21" s="7">
        <v>11533.38</v>
      </c>
      <c r="Q21" s="2"/>
      <c r="R21" s="6">
        <f t="shared" si="4"/>
        <v>0</v>
      </c>
      <c r="S21" s="2"/>
      <c r="T21" s="7">
        <v>4716.9799999999996</v>
      </c>
      <c r="U21" s="2"/>
      <c r="V21" s="6">
        <f t="shared" si="5"/>
        <v>0</v>
      </c>
      <c r="W21" s="2"/>
      <c r="X21" s="7">
        <f t="shared" si="6"/>
        <v>6816.4</v>
      </c>
      <c r="Y21" s="2"/>
      <c r="Z21" s="6">
        <f t="shared" si="7"/>
        <v>1.4450771468185153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20065.64</v>
      </c>
      <c r="E22" s="2"/>
      <c r="F22" s="6">
        <f t="shared" si="0"/>
        <v>0</v>
      </c>
      <c r="G22" s="2"/>
      <c r="H22" s="7">
        <v>22431.15</v>
      </c>
      <c r="I22" s="2"/>
      <c r="J22" s="6">
        <f t="shared" si="1"/>
        <v>0</v>
      </c>
      <c r="K22" s="2"/>
      <c r="L22" s="7">
        <f t="shared" si="2"/>
        <v>-2365.510000000002</v>
      </c>
      <c r="M22" s="2"/>
      <c r="N22" s="6">
        <f t="shared" si="3"/>
        <v>-0.10545647459002333</v>
      </c>
      <c r="O22" s="11"/>
      <c r="P22" s="7">
        <v>154862.38</v>
      </c>
      <c r="Q22" s="2"/>
      <c r="R22" s="6">
        <f t="shared" si="4"/>
        <v>0</v>
      </c>
      <c r="S22" s="2"/>
      <c r="T22" s="7">
        <v>160398.93</v>
      </c>
      <c r="U22" s="2"/>
      <c r="V22" s="6">
        <f t="shared" si="5"/>
        <v>0</v>
      </c>
      <c r="W22" s="2"/>
      <c r="X22" s="7">
        <f t="shared" si="6"/>
        <v>-5536.5499999999884</v>
      </c>
      <c r="Y22" s="2"/>
      <c r="Z22" s="6">
        <f t="shared" si="7"/>
        <v>-3.4517374897700306E-2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382.98</v>
      </c>
      <c r="E23" s="2"/>
      <c r="F23" s="6">
        <f t="shared" si="0"/>
        <v>0</v>
      </c>
      <c r="G23" s="2"/>
      <c r="H23" s="7">
        <v>488.19</v>
      </c>
      <c r="I23" s="2"/>
      <c r="J23" s="6">
        <f t="shared" si="1"/>
        <v>0</v>
      </c>
      <c r="K23" s="2"/>
      <c r="L23" s="7">
        <f t="shared" si="2"/>
        <v>-105.20999999999998</v>
      </c>
      <c r="M23" s="2"/>
      <c r="N23" s="6">
        <f t="shared" si="3"/>
        <v>-0.21551035457506296</v>
      </c>
      <c r="O23" s="11"/>
      <c r="P23" s="7">
        <v>2047.53</v>
      </c>
      <c r="Q23" s="2"/>
      <c r="R23" s="6">
        <f t="shared" si="4"/>
        <v>0</v>
      </c>
      <c r="S23" s="2"/>
      <c r="T23" s="7">
        <v>2058.91</v>
      </c>
      <c r="U23" s="2"/>
      <c r="V23" s="6">
        <f t="shared" si="5"/>
        <v>0</v>
      </c>
      <c r="W23" s="2"/>
      <c r="X23" s="7">
        <f t="shared" si="6"/>
        <v>-11.379999999999882</v>
      </c>
      <c r="Y23" s="2"/>
      <c r="Z23" s="6">
        <f t="shared" si="7"/>
        <v>-5.5271964291784886E-3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8103.29</v>
      </c>
      <c r="E24" s="2"/>
      <c r="F24" s="6">
        <f t="shared" si="0"/>
        <v>0</v>
      </c>
      <c r="G24" s="2"/>
      <c r="H24" s="7">
        <v>11445.46</v>
      </c>
      <c r="I24" s="2"/>
      <c r="J24" s="6">
        <f t="shared" si="1"/>
        <v>0</v>
      </c>
      <c r="K24" s="2"/>
      <c r="L24" s="7">
        <f t="shared" si="2"/>
        <v>-3342.1699999999992</v>
      </c>
      <c r="M24" s="2"/>
      <c r="N24" s="6">
        <f t="shared" si="3"/>
        <v>-0.29200835964653227</v>
      </c>
      <c r="O24" s="11"/>
      <c r="P24" s="7">
        <v>57320.65</v>
      </c>
      <c r="Q24" s="2"/>
      <c r="R24" s="6">
        <f t="shared" si="4"/>
        <v>0</v>
      </c>
      <c r="S24" s="2"/>
      <c r="T24" s="7">
        <v>66750.740000000005</v>
      </c>
      <c r="U24" s="2"/>
      <c r="V24" s="6">
        <f t="shared" si="5"/>
        <v>0</v>
      </c>
      <c r="W24" s="2"/>
      <c r="X24" s="7">
        <f t="shared" si="6"/>
        <v>-9430.0900000000038</v>
      </c>
      <c r="Y24" s="2"/>
      <c r="Z24" s="6">
        <f t="shared" si="7"/>
        <v>-0.14127319037961231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2636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2636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4180.92</v>
      </c>
      <c r="E26" s="2"/>
      <c r="F26" s="6">
        <f t="shared" si="0"/>
        <v>0</v>
      </c>
      <c r="G26" s="2"/>
      <c r="H26" s="7">
        <v>486.03</v>
      </c>
      <c r="I26" s="2"/>
      <c r="J26" s="6">
        <f t="shared" si="1"/>
        <v>0</v>
      </c>
      <c r="K26" s="2"/>
      <c r="L26" s="7">
        <f t="shared" si="2"/>
        <v>3694.8900000000003</v>
      </c>
      <c r="M26" s="2"/>
      <c r="N26" s="6">
        <f t="shared" si="3"/>
        <v>7.6021850503055379</v>
      </c>
      <c r="O26" s="11"/>
      <c r="P26" s="7">
        <v>7962.28</v>
      </c>
      <c r="Q26" s="2"/>
      <c r="R26" s="6">
        <f t="shared" si="4"/>
        <v>0</v>
      </c>
      <c r="S26" s="2"/>
      <c r="T26" s="7">
        <v>5244.12</v>
      </c>
      <c r="U26" s="2"/>
      <c r="V26" s="6">
        <f t="shared" si="5"/>
        <v>0</v>
      </c>
      <c r="W26" s="2"/>
      <c r="X26" s="7">
        <f t="shared" si="6"/>
        <v>2718.16</v>
      </c>
      <c r="Y26" s="2"/>
      <c r="Z26" s="6">
        <f t="shared" si="7"/>
        <v>0.51832528622533425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19764.060000000001</v>
      </c>
      <c r="E27" s="2"/>
      <c r="F27" s="6">
        <f t="shared" si="0"/>
        <v>0</v>
      </c>
      <c r="G27" s="2"/>
      <c r="H27" s="7">
        <v>5658.85</v>
      </c>
      <c r="I27" s="2"/>
      <c r="J27" s="6">
        <f t="shared" si="1"/>
        <v>0</v>
      </c>
      <c r="K27" s="2"/>
      <c r="L27" s="7">
        <f t="shared" si="2"/>
        <v>14105.210000000001</v>
      </c>
      <c r="M27" s="2"/>
      <c r="N27" s="6">
        <f t="shared" si="3"/>
        <v>2.4925930180160281</v>
      </c>
      <c r="O27" s="11"/>
      <c r="P27" s="7">
        <v>62107.06</v>
      </c>
      <c r="Q27" s="2"/>
      <c r="R27" s="6">
        <f t="shared" si="4"/>
        <v>0</v>
      </c>
      <c r="S27" s="2"/>
      <c r="T27" s="7">
        <v>45128.67</v>
      </c>
      <c r="U27" s="2"/>
      <c r="V27" s="6">
        <f t="shared" si="5"/>
        <v>0</v>
      </c>
      <c r="W27" s="2"/>
      <c r="X27" s="7">
        <f t="shared" si="6"/>
        <v>16978.39</v>
      </c>
      <c r="Y27" s="2"/>
      <c r="Z27" s="6">
        <f t="shared" si="7"/>
        <v>0.37622181198781174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31760.07</v>
      </c>
      <c r="E28" s="2"/>
      <c r="F28" s="6">
        <f t="shared" si="0"/>
        <v>0</v>
      </c>
      <c r="G28" s="2"/>
      <c r="H28" s="7">
        <v>4003.52</v>
      </c>
      <c r="I28" s="2"/>
      <c r="J28" s="6">
        <f t="shared" si="1"/>
        <v>0</v>
      </c>
      <c r="K28" s="2"/>
      <c r="L28" s="7">
        <f t="shared" si="2"/>
        <v>27756.55</v>
      </c>
      <c r="M28" s="2"/>
      <c r="N28" s="6">
        <f t="shared" si="3"/>
        <v>6.93303642794341</v>
      </c>
      <c r="O28" s="11"/>
      <c r="P28" s="7">
        <v>59839.41</v>
      </c>
      <c r="Q28" s="2"/>
      <c r="R28" s="6">
        <f t="shared" si="4"/>
        <v>0</v>
      </c>
      <c r="S28" s="2"/>
      <c r="T28" s="7">
        <v>30801.3</v>
      </c>
      <c r="U28" s="2"/>
      <c r="V28" s="6">
        <f t="shared" si="5"/>
        <v>0</v>
      </c>
      <c r="W28" s="2"/>
      <c r="X28" s="7">
        <f t="shared" si="6"/>
        <v>29038.110000000004</v>
      </c>
      <c r="Y28" s="2"/>
      <c r="Z28" s="6">
        <f t="shared" si="7"/>
        <v>0.94275598757195334</v>
      </c>
    </row>
    <row r="29" spans="1:26" s="24" customFormat="1" hidden="1" outlineLevel="2" x14ac:dyDescent="0.3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7">
        <v>26491.86</v>
      </c>
      <c r="E29" s="2"/>
      <c r="F29" s="6">
        <f t="shared" si="0"/>
        <v>0</v>
      </c>
      <c r="G29" s="2"/>
      <c r="H29" s="7">
        <v>28145.68</v>
      </c>
      <c r="I29" s="2"/>
      <c r="J29" s="6">
        <f t="shared" si="1"/>
        <v>0</v>
      </c>
      <c r="K29" s="2"/>
      <c r="L29" s="7">
        <f t="shared" si="2"/>
        <v>-1653.8199999999997</v>
      </c>
      <c r="M29" s="2"/>
      <c r="N29" s="6">
        <f t="shared" si="3"/>
        <v>-5.8759283840361991E-2</v>
      </c>
      <c r="O29" s="11"/>
      <c r="P29" s="7">
        <v>192208.22</v>
      </c>
      <c r="Q29" s="2"/>
      <c r="R29" s="6">
        <f t="shared" si="4"/>
        <v>0</v>
      </c>
      <c r="S29" s="2"/>
      <c r="T29" s="7">
        <v>-189192.6</v>
      </c>
      <c r="U29" s="2"/>
      <c r="V29" s="6">
        <f t="shared" si="5"/>
        <v>0</v>
      </c>
      <c r="W29" s="2"/>
      <c r="X29" s="7">
        <f t="shared" si="6"/>
        <v>381400.82</v>
      </c>
      <c r="Y29" s="2"/>
      <c r="Z29" s="6">
        <f t="shared" si="7"/>
        <v>-2.0159394183493435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1265.81</v>
      </c>
      <c r="E30" s="2"/>
      <c r="F30" s="6">
        <f t="shared" si="0"/>
        <v>0</v>
      </c>
      <c r="G30" s="2"/>
      <c r="H30" s="7">
        <v>171</v>
      </c>
      <c r="I30" s="2"/>
      <c r="J30" s="6">
        <f t="shared" si="1"/>
        <v>0</v>
      </c>
      <c r="K30" s="2"/>
      <c r="L30" s="7">
        <f t="shared" si="2"/>
        <v>1094.81</v>
      </c>
      <c r="M30" s="2"/>
      <c r="N30" s="6">
        <f t="shared" si="3"/>
        <v>6.4023976608187132</v>
      </c>
      <c r="O30" s="11"/>
      <c r="P30" s="7">
        <v>10001.81</v>
      </c>
      <c r="Q30" s="2"/>
      <c r="R30" s="6">
        <f t="shared" si="4"/>
        <v>0</v>
      </c>
      <c r="S30" s="2"/>
      <c r="T30" s="7">
        <v>4574.5200000000004</v>
      </c>
      <c r="U30" s="2"/>
      <c r="V30" s="6">
        <f t="shared" si="5"/>
        <v>0</v>
      </c>
      <c r="W30" s="2"/>
      <c r="X30" s="7">
        <f t="shared" si="6"/>
        <v>5427.2899999999991</v>
      </c>
      <c r="Y30" s="2"/>
      <c r="Z30" s="6">
        <f t="shared" si="7"/>
        <v>1.1864173727516765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164770.16999999998</v>
      </c>
      <c r="E31" s="1"/>
      <c r="F31" s="5">
        <f t="shared" ref="F31:F37" si="8">IF(D$12=0,0,D31/D$12)</f>
        <v>0</v>
      </c>
      <c r="G31" s="1"/>
      <c r="H31" s="1">
        <f>SUM(OSRRefH22_1x_0)</f>
        <v>113526.32999999999</v>
      </c>
      <c r="I31" s="1"/>
      <c r="J31" s="5">
        <f t="shared" ref="J31:J37" si="9">IF(H$12=0,0,H31/H$12)</f>
        <v>0</v>
      </c>
      <c r="K31" s="1"/>
      <c r="L31" s="1">
        <f t="shared" ref="L31:L37" si="10">+D31-H31</f>
        <v>51243.839999999997</v>
      </c>
      <c r="M31" s="1"/>
      <c r="N31" s="5">
        <f t="shared" ref="N31:N37" si="11">IF(H31=0,0,L31/H31)</f>
        <v>0.45138286422189461</v>
      </c>
      <c r="O31" s="14"/>
      <c r="P31" s="1">
        <f>SUM(OSRRefP22_1x_0)</f>
        <v>729293.04</v>
      </c>
      <c r="Q31" s="1"/>
      <c r="R31" s="5">
        <f t="shared" ref="R31:R37" si="12">IF(P$12=0,0,P31/P$12)</f>
        <v>0</v>
      </c>
      <c r="S31" s="1"/>
      <c r="T31" s="1">
        <f>SUM(OSRRefT22_1x_0)</f>
        <v>657471.67000000004</v>
      </c>
      <c r="U31" s="1"/>
      <c r="V31" s="5">
        <f t="shared" ref="V31:V37" si="13">IF(T$12=0,0,T31/T$12)</f>
        <v>0</v>
      </c>
      <c r="W31" s="1"/>
      <c r="X31" s="1">
        <f t="shared" ref="X31:X37" si="14">+P31-T31</f>
        <v>71821.37</v>
      </c>
      <c r="Y31" s="1"/>
      <c r="Z31" s="5">
        <f t="shared" ref="Z31:Z37" si="15">IF(T31=0,0,X31/T31)</f>
        <v>0.10923872963225928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79300.429999999993</v>
      </c>
      <c r="E32" s="2"/>
      <c r="F32" s="6">
        <f t="shared" si="8"/>
        <v>0</v>
      </c>
      <c r="G32" s="2"/>
      <c r="H32" s="7">
        <v>30078.959999999999</v>
      </c>
      <c r="I32" s="2"/>
      <c r="J32" s="6">
        <f t="shared" si="9"/>
        <v>0</v>
      </c>
      <c r="K32" s="2"/>
      <c r="L32" s="7">
        <f t="shared" si="10"/>
        <v>49221.469999999994</v>
      </c>
      <c r="M32" s="2"/>
      <c r="N32" s="6">
        <f t="shared" si="11"/>
        <v>1.6364086391284804</v>
      </c>
      <c r="O32" s="11"/>
      <c r="P32" s="7">
        <v>195900.5</v>
      </c>
      <c r="Q32" s="2"/>
      <c r="R32" s="6">
        <f t="shared" si="12"/>
        <v>0</v>
      </c>
      <c r="S32" s="2"/>
      <c r="T32" s="7">
        <v>178055.51</v>
      </c>
      <c r="U32" s="2"/>
      <c r="V32" s="6">
        <f t="shared" si="13"/>
        <v>0</v>
      </c>
      <c r="W32" s="2"/>
      <c r="X32" s="7">
        <f t="shared" si="14"/>
        <v>17844.989999999991</v>
      </c>
      <c r="Y32" s="2"/>
      <c r="Z32" s="6">
        <f t="shared" si="15"/>
        <v>0.10022149834060171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57751.360000000001</v>
      </c>
      <c r="E33" s="2"/>
      <c r="F33" s="6">
        <f t="shared" si="8"/>
        <v>0</v>
      </c>
      <c r="G33" s="2"/>
      <c r="H33" s="7">
        <v>57114.879999999997</v>
      </c>
      <c r="I33" s="2"/>
      <c r="J33" s="6">
        <f t="shared" si="9"/>
        <v>0</v>
      </c>
      <c r="K33" s="2"/>
      <c r="L33" s="7">
        <f t="shared" si="10"/>
        <v>636.4800000000032</v>
      </c>
      <c r="M33" s="2"/>
      <c r="N33" s="6">
        <f t="shared" si="11"/>
        <v>1.1143856031913282E-2</v>
      </c>
      <c r="O33" s="11"/>
      <c r="P33" s="7">
        <v>357941.12</v>
      </c>
      <c r="Q33" s="2"/>
      <c r="R33" s="6">
        <f t="shared" si="12"/>
        <v>0</v>
      </c>
      <c r="S33" s="2"/>
      <c r="T33" s="7">
        <v>344546.95</v>
      </c>
      <c r="U33" s="2"/>
      <c r="V33" s="6">
        <f t="shared" si="13"/>
        <v>0</v>
      </c>
      <c r="W33" s="2"/>
      <c r="X33" s="7">
        <f t="shared" si="14"/>
        <v>13394.169999999984</v>
      </c>
      <c r="Y33" s="2"/>
      <c r="Z33" s="6">
        <f t="shared" si="15"/>
        <v>3.8874731005455083E-2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20420.13</v>
      </c>
      <c r="E34" s="2"/>
      <c r="F34" s="6">
        <f t="shared" si="8"/>
        <v>0</v>
      </c>
      <c r="G34" s="2"/>
      <c r="H34" s="7">
        <v>15921.98</v>
      </c>
      <c r="I34" s="2"/>
      <c r="J34" s="6">
        <f t="shared" si="9"/>
        <v>0</v>
      </c>
      <c r="K34" s="2"/>
      <c r="L34" s="7">
        <f t="shared" si="10"/>
        <v>4498.1500000000015</v>
      </c>
      <c r="M34" s="2"/>
      <c r="N34" s="6">
        <f t="shared" si="11"/>
        <v>0.28251197401328237</v>
      </c>
      <c r="O34" s="11"/>
      <c r="P34" s="7">
        <v>141390.19</v>
      </c>
      <c r="Q34" s="2"/>
      <c r="R34" s="6">
        <f t="shared" si="12"/>
        <v>0</v>
      </c>
      <c r="S34" s="2"/>
      <c r="T34" s="7">
        <v>124539.56</v>
      </c>
      <c r="U34" s="2"/>
      <c r="V34" s="6">
        <f t="shared" si="13"/>
        <v>0</v>
      </c>
      <c r="W34" s="2"/>
      <c r="X34" s="7">
        <f t="shared" si="14"/>
        <v>16850.630000000005</v>
      </c>
      <c r="Y34" s="2"/>
      <c r="Z34" s="6">
        <f t="shared" si="15"/>
        <v>0.13530343290116012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2005.25</v>
      </c>
      <c r="E35" s="2"/>
      <c r="F35" s="6">
        <f t="shared" si="8"/>
        <v>0</v>
      </c>
      <c r="G35" s="2"/>
      <c r="H35" s="7">
        <v>3541.75</v>
      </c>
      <c r="I35" s="2"/>
      <c r="J35" s="6">
        <f t="shared" si="9"/>
        <v>0</v>
      </c>
      <c r="K35" s="2"/>
      <c r="L35" s="7">
        <f t="shared" si="10"/>
        <v>-1536.5</v>
      </c>
      <c r="M35" s="2"/>
      <c r="N35" s="6">
        <f t="shared" si="11"/>
        <v>-0.43382508646855367</v>
      </c>
      <c r="O35" s="11"/>
      <c r="P35" s="7">
        <v>14227.41</v>
      </c>
      <c r="Q35" s="2"/>
      <c r="R35" s="6">
        <f t="shared" si="12"/>
        <v>0</v>
      </c>
      <c r="S35" s="2"/>
      <c r="T35" s="7">
        <v>40073.279999999999</v>
      </c>
      <c r="U35" s="2"/>
      <c r="V35" s="6">
        <f t="shared" si="13"/>
        <v>0</v>
      </c>
      <c r="W35" s="2"/>
      <c r="X35" s="7">
        <f t="shared" si="14"/>
        <v>-25845.87</v>
      </c>
      <c r="Y35" s="2"/>
      <c r="Z35" s="6">
        <f t="shared" si="15"/>
        <v>-0.64496517380159546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5293</v>
      </c>
      <c r="E36" s="2"/>
      <c r="F36" s="6">
        <f t="shared" si="8"/>
        <v>0</v>
      </c>
      <c r="G36" s="2"/>
      <c r="H36" s="7">
        <v>5502</v>
      </c>
      <c r="I36" s="2"/>
      <c r="J36" s="6">
        <f t="shared" si="9"/>
        <v>0</v>
      </c>
      <c r="K36" s="2"/>
      <c r="L36" s="7">
        <f t="shared" si="10"/>
        <v>-209</v>
      </c>
      <c r="M36" s="2"/>
      <c r="N36" s="6">
        <f t="shared" si="11"/>
        <v>-3.7986186841148677E-2</v>
      </c>
      <c r="O36" s="11"/>
      <c r="P36" s="7">
        <v>8358.6200000000008</v>
      </c>
      <c r="Q36" s="2"/>
      <c r="R36" s="6">
        <f t="shared" si="12"/>
        <v>0</v>
      </c>
      <c r="S36" s="2"/>
      <c r="T36" s="7">
        <v>-39339.01</v>
      </c>
      <c r="U36" s="2"/>
      <c r="V36" s="6">
        <f t="shared" si="13"/>
        <v>0</v>
      </c>
      <c r="W36" s="2"/>
      <c r="X36" s="7">
        <f t="shared" si="14"/>
        <v>47697.630000000005</v>
      </c>
      <c r="Y36" s="2"/>
      <c r="Z36" s="6">
        <f t="shared" si="15"/>
        <v>-1.2124766230771948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1366.76</v>
      </c>
      <c r="I37" s="2"/>
      <c r="J37" s="6">
        <f t="shared" si="9"/>
        <v>0</v>
      </c>
      <c r="K37" s="2"/>
      <c r="L37" s="7">
        <f t="shared" si="10"/>
        <v>-1366.76</v>
      </c>
      <c r="M37" s="2"/>
      <c r="N37" s="6">
        <f t="shared" si="11"/>
        <v>-1</v>
      </c>
      <c r="O37" s="11"/>
      <c r="P37" s="7">
        <v>11475.2</v>
      </c>
      <c r="Q37" s="2"/>
      <c r="R37" s="6">
        <f t="shared" si="12"/>
        <v>0</v>
      </c>
      <c r="S37" s="2"/>
      <c r="T37" s="7">
        <v>9595.3799999999992</v>
      </c>
      <c r="U37" s="2"/>
      <c r="V37" s="6">
        <f t="shared" si="13"/>
        <v>0</v>
      </c>
      <c r="W37" s="2"/>
      <c r="X37" s="7">
        <f t="shared" si="14"/>
        <v>1879.8200000000015</v>
      </c>
      <c r="Y37" s="2"/>
      <c r="Z37" s="6">
        <f t="shared" si="15"/>
        <v>0.19590886447436179</v>
      </c>
    </row>
    <row r="38" spans="1:26" s="29" customFormat="1" outlineLevel="1" collapsed="1" x14ac:dyDescent="0.3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173.21</v>
      </c>
      <c r="E38" s="1"/>
      <c r="F38" s="5">
        <f t="shared" ref="F38:F54" si="16">IF(D$12=0,0,D38/D$12)</f>
        <v>0</v>
      </c>
      <c r="G38" s="1"/>
      <c r="H38" s="1">
        <f>SUM(OSRRefH22_2x_0)</f>
        <v>173.21</v>
      </c>
      <c r="I38" s="1"/>
      <c r="J38" s="5">
        <f t="shared" ref="J38:J54" si="17">IF(H$12=0,0,H38/H$12)</f>
        <v>0</v>
      </c>
      <c r="K38" s="1"/>
      <c r="L38" s="1">
        <f t="shared" ref="L38:L54" si="18">+D38-H38</f>
        <v>0</v>
      </c>
      <c r="M38" s="1"/>
      <c r="N38" s="5">
        <f t="shared" ref="N38:N54" si="19">IF(H38=0,0,L38/H38)</f>
        <v>0</v>
      </c>
      <c r="O38" s="14"/>
      <c r="P38" s="1">
        <f>SUM(OSRRefP22_2x_0)</f>
        <v>3576.74</v>
      </c>
      <c r="Q38" s="1"/>
      <c r="R38" s="5">
        <f t="shared" ref="R38:R54" si="20">IF(P$12=0,0,P38/P$12)</f>
        <v>0</v>
      </c>
      <c r="S38" s="1"/>
      <c r="T38" s="1">
        <f>SUM(OSRRefT22_2x_0)</f>
        <v>1106.06</v>
      </c>
      <c r="U38" s="1"/>
      <c r="V38" s="5">
        <f t="shared" ref="V38:V54" si="21">IF(T$12=0,0,T38/T$12)</f>
        <v>0</v>
      </c>
      <c r="W38" s="1"/>
      <c r="X38" s="1">
        <f t="shared" ref="X38:X54" si="22">+P38-T38</f>
        <v>2470.6799999999998</v>
      </c>
      <c r="Y38" s="1"/>
      <c r="Z38" s="5">
        <f t="shared" ref="Z38:Z54" si="23">IF(T38=0,0,X38/T38)</f>
        <v>2.23376670343381</v>
      </c>
    </row>
    <row r="39" spans="1:26" s="24" customFormat="1" hidden="1" outlineLevel="2" x14ac:dyDescent="0.3">
      <c r="A39" s="27"/>
      <c r="B39" s="11" t="str">
        <f>CONCATENATE("          ", "6362", " - ", "ADVERTISING EXPENSE")</f>
        <v xml:space="preserve">          6362 - ADVERTISING EXPENSE</v>
      </c>
      <c r="C39" s="11"/>
      <c r="D39" s="7">
        <v>173.21</v>
      </c>
      <c r="E39" s="2"/>
      <c r="F39" s="6">
        <f t="shared" si="16"/>
        <v>0</v>
      </c>
      <c r="G39" s="2"/>
      <c r="H39" s="7">
        <v>173.21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>
        <v>3576.74</v>
      </c>
      <c r="Q39" s="2"/>
      <c r="R39" s="6">
        <f t="shared" si="20"/>
        <v>0</v>
      </c>
      <c r="S39" s="2"/>
      <c r="T39" s="7">
        <v>1106.06</v>
      </c>
      <c r="U39" s="2"/>
      <c r="V39" s="6">
        <f t="shared" si="21"/>
        <v>0</v>
      </c>
      <c r="W39" s="2"/>
      <c r="X39" s="7">
        <f t="shared" si="22"/>
        <v>2470.6799999999998</v>
      </c>
      <c r="Y39" s="2"/>
      <c r="Z39" s="6">
        <f t="shared" si="23"/>
        <v>2.23376670343381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3680.15</v>
      </c>
      <c r="E40" s="1"/>
      <c r="F40" s="5">
        <f t="shared" si="16"/>
        <v>0</v>
      </c>
      <c r="G40" s="1"/>
      <c r="H40" s="1">
        <f>SUM(OSRRefH22_3x_0)</f>
        <v>2078.09</v>
      </c>
      <c r="I40" s="1"/>
      <c r="J40" s="5">
        <f t="shared" si="17"/>
        <v>0</v>
      </c>
      <c r="K40" s="1"/>
      <c r="L40" s="1">
        <f t="shared" si="18"/>
        <v>1602.06</v>
      </c>
      <c r="M40" s="1"/>
      <c r="N40" s="5">
        <f t="shared" si="19"/>
        <v>0.77092907429418356</v>
      </c>
      <c r="O40" s="14"/>
      <c r="P40" s="1">
        <f>SUM(OSRRefP22_3x_0)</f>
        <v>9279.08</v>
      </c>
      <c r="Q40" s="1"/>
      <c r="R40" s="5">
        <f t="shared" si="20"/>
        <v>0</v>
      </c>
      <c r="S40" s="1"/>
      <c r="T40" s="1">
        <f>SUM(OSRRefT22_3x_0)</f>
        <v>4982.67</v>
      </c>
      <c r="U40" s="1"/>
      <c r="V40" s="5">
        <f t="shared" si="21"/>
        <v>0</v>
      </c>
      <c r="W40" s="1"/>
      <c r="X40" s="1">
        <f t="shared" si="22"/>
        <v>4296.41</v>
      </c>
      <c r="Y40" s="1"/>
      <c r="Z40" s="5">
        <f t="shared" si="23"/>
        <v>0.86227063000359239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3680.15</v>
      </c>
      <c r="E41" s="2"/>
      <c r="F41" s="6">
        <f t="shared" si="16"/>
        <v>0</v>
      </c>
      <c r="G41" s="2"/>
      <c r="H41" s="7">
        <v>2078.09</v>
      </c>
      <c r="I41" s="2"/>
      <c r="J41" s="6">
        <f t="shared" si="17"/>
        <v>0</v>
      </c>
      <c r="K41" s="2"/>
      <c r="L41" s="7">
        <f t="shared" si="18"/>
        <v>1602.06</v>
      </c>
      <c r="M41" s="2"/>
      <c r="N41" s="6">
        <f t="shared" si="19"/>
        <v>0.77092907429418356</v>
      </c>
      <c r="O41" s="11"/>
      <c r="P41" s="7">
        <v>9279.08</v>
      </c>
      <c r="Q41" s="2"/>
      <c r="R41" s="6">
        <f t="shared" si="20"/>
        <v>0</v>
      </c>
      <c r="S41" s="2"/>
      <c r="T41" s="7">
        <v>4982.67</v>
      </c>
      <c r="U41" s="2"/>
      <c r="V41" s="6">
        <f t="shared" si="21"/>
        <v>0</v>
      </c>
      <c r="W41" s="2"/>
      <c r="X41" s="7">
        <f t="shared" si="22"/>
        <v>4296.41</v>
      </c>
      <c r="Y41" s="2"/>
      <c r="Z41" s="6">
        <f t="shared" si="23"/>
        <v>0.86227063000359239</v>
      </c>
    </row>
    <row r="42" spans="1:26" s="29" customFormat="1" outlineLevel="1" collapsed="1" x14ac:dyDescent="0.3">
      <c r="A42" s="28"/>
      <c r="B42" s="14" t="str">
        <f>CONCATENATE("     ","Board                                             ")</f>
        <v xml:space="preserve">     Board                                             </v>
      </c>
      <c r="C42" s="14"/>
      <c r="D42" s="1">
        <f>SUM(OSRRefD22_4x_0)</f>
        <v>991.03</v>
      </c>
      <c r="E42" s="1"/>
      <c r="F42" s="5">
        <f t="shared" si="16"/>
        <v>0</v>
      </c>
      <c r="G42" s="1"/>
      <c r="H42" s="1">
        <f>SUM(OSRRefH22_4x_0)</f>
        <v>1763</v>
      </c>
      <c r="I42" s="1"/>
      <c r="J42" s="5">
        <f t="shared" si="17"/>
        <v>0</v>
      </c>
      <c r="K42" s="1"/>
      <c r="L42" s="1">
        <f t="shared" si="18"/>
        <v>-771.97</v>
      </c>
      <c r="M42" s="1"/>
      <c r="N42" s="5">
        <f t="shared" si="19"/>
        <v>-0.43787294384571757</v>
      </c>
      <c r="O42" s="14"/>
      <c r="P42" s="1">
        <f>SUM(OSRRefP22_4x_0)</f>
        <v>8647.5400000000009</v>
      </c>
      <c r="Q42" s="1"/>
      <c r="R42" s="5">
        <f t="shared" si="20"/>
        <v>0</v>
      </c>
      <c r="S42" s="1"/>
      <c r="T42" s="1">
        <f>SUM(OSRRefT22_4x_0)</f>
        <v>9599.99</v>
      </c>
      <c r="U42" s="1"/>
      <c r="V42" s="5">
        <f t="shared" si="21"/>
        <v>0</v>
      </c>
      <c r="W42" s="1"/>
      <c r="X42" s="1">
        <f t="shared" si="22"/>
        <v>-952.44999999999891</v>
      </c>
      <c r="Y42" s="1"/>
      <c r="Z42" s="5">
        <f t="shared" si="23"/>
        <v>-9.9213645014213439E-2</v>
      </c>
    </row>
    <row r="43" spans="1:26" s="24" customFormat="1" hidden="1" outlineLevel="2" x14ac:dyDescent="0.3">
      <c r="A43" s="27"/>
      <c r="B43" s="11" t="str">
        <f>CONCATENATE("          ", "6397", " - ", "BOARD EXPENSES")</f>
        <v xml:space="preserve">          6397 - BOARD EXPENSES</v>
      </c>
      <c r="C43" s="11"/>
      <c r="D43" s="7">
        <v>991.03</v>
      </c>
      <c r="E43" s="2"/>
      <c r="F43" s="6">
        <f t="shared" si="16"/>
        <v>0</v>
      </c>
      <c r="G43" s="2"/>
      <c r="H43" s="7">
        <v>1763</v>
      </c>
      <c r="I43" s="2"/>
      <c r="J43" s="6">
        <f t="shared" si="17"/>
        <v>0</v>
      </c>
      <c r="K43" s="2"/>
      <c r="L43" s="7">
        <f t="shared" si="18"/>
        <v>-771.97</v>
      </c>
      <c r="M43" s="2"/>
      <c r="N43" s="6">
        <f t="shared" si="19"/>
        <v>-0.43787294384571757</v>
      </c>
      <c r="O43" s="11"/>
      <c r="P43" s="7">
        <v>8647.5400000000009</v>
      </c>
      <c r="Q43" s="2"/>
      <c r="R43" s="6">
        <f t="shared" si="20"/>
        <v>0</v>
      </c>
      <c r="S43" s="2"/>
      <c r="T43" s="7">
        <v>9599.99</v>
      </c>
      <c r="U43" s="2"/>
      <c r="V43" s="6">
        <f t="shared" si="21"/>
        <v>0</v>
      </c>
      <c r="W43" s="2"/>
      <c r="X43" s="7">
        <f t="shared" si="22"/>
        <v>-952.44999999999891</v>
      </c>
      <c r="Y43" s="2"/>
      <c r="Z43" s="6">
        <f t="shared" si="23"/>
        <v>-9.9213645014213439E-2</v>
      </c>
    </row>
    <row r="44" spans="1:26" s="29" customFormat="1" outlineLevel="1" collapsed="1" x14ac:dyDescent="0.3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4014.64</v>
      </c>
      <c r="E44" s="1"/>
      <c r="F44" s="5">
        <f t="shared" si="16"/>
        <v>0</v>
      </c>
      <c r="G44" s="1"/>
      <c r="H44" s="1">
        <f>SUM(OSRRefH22_5x_0)</f>
        <v>7139.05</v>
      </c>
      <c r="I44" s="1"/>
      <c r="J44" s="5">
        <f t="shared" si="17"/>
        <v>0</v>
      </c>
      <c r="K44" s="1"/>
      <c r="L44" s="1">
        <f t="shared" si="18"/>
        <v>-3124.4100000000003</v>
      </c>
      <c r="M44" s="1"/>
      <c r="N44" s="5">
        <f t="shared" si="19"/>
        <v>-0.43765066780594059</v>
      </c>
      <c r="O44" s="14"/>
      <c r="P44" s="1">
        <f>SUM(OSRRefP22_5x_0)</f>
        <v>36974.92</v>
      </c>
      <c r="Q44" s="1"/>
      <c r="R44" s="5">
        <f t="shared" si="20"/>
        <v>0</v>
      </c>
      <c r="S44" s="1"/>
      <c r="T44" s="1">
        <f>SUM(OSRRefT22_5x_0)</f>
        <v>51543.87</v>
      </c>
      <c r="U44" s="1"/>
      <c r="V44" s="5">
        <f t="shared" si="21"/>
        <v>0</v>
      </c>
      <c r="W44" s="1"/>
      <c r="X44" s="1">
        <f t="shared" si="22"/>
        <v>-14568.950000000004</v>
      </c>
      <c r="Y44" s="1"/>
      <c r="Z44" s="5">
        <f t="shared" si="23"/>
        <v>-0.2826514578746222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4014.64</v>
      </c>
      <c r="E45" s="2"/>
      <c r="F45" s="6">
        <f t="shared" si="16"/>
        <v>0</v>
      </c>
      <c r="G45" s="2"/>
      <c r="H45" s="7">
        <v>7139.05</v>
      </c>
      <c r="I45" s="2"/>
      <c r="J45" s="6">
        <f t="shared" si="17"/>
        <v>0</v>
      </c>
      <c r="K45" s="2"/>
      <c r="L45" s="7">
        <f t="shared" si="18"/>
        <v>-3124.4100000000003</v>
      </c>
      <c r="M45" s="2"/>
      <c r="N45" s="6">
        <f t="shared" si="19"/>
        <v>-0.43765066780594059</v>
      </c>
      <c r="O45" s="11"/>
      <c r="P45" s="7">
        <v>36974.92</v>
      </c>
      <c r="Q45" s="2"/>
      <c r="R45" s="6">
        <f t="shared" si="20"/>
        <v>0</v>
      </c>
      <c r="S45" s="2"/>
      <c r="T45" s="7">
        <v>51543.87</v>
      </c>
      <c r="U45" s="2"/>
      <c r="V45" s="6">
        <f t="shared" si="21"/>
        <v>0</v>
      </c>
      <c r="W45" s="2"/>
      <c r="X45" s="7">
        <f t="shared" si="22"/>
        <v>-14568.950000000004</v>
      </c>
      <c r="Y45" s="2"/>
      <c r="Z45" s="6">
        <f t="shared" si="23"/>
        <v>-0.2826514578746222</v>
      </c>
    </row>
    <row r="46" spans="1:26" s="29" customFormat="1" outlineLevel="1" collapsed="1" x14ac:dyDescent="0.3">
      <c r="A46" s="28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SUM(OSRRefD22_6x_0)</f>
        <v>0</v>
      </c>
      <c r="E46" s="1"/>
      <c r="F46" s="5">
        <f t="shared" si="16"/>
        <v>0</v>
      </c>
      <c r="G46" s="1"/>
      <c r="H46" s="1">
        <f>SUM(OSRRefH22_6x_0)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4"/>
      <c r="P46" s="1">
        <f>SUM(OSRRefP22_6x_0)</f>
        <v>25300</v>
      </c>
      <c r="Q46" s="1"/>
      <c r="R46" s="5">
        <f t="shared" si="20"/>
        <v>0</v>
      </c>
      <c r="S46" s="1"/>
      <c r="T46" s="1">
        <f>SUM(OSRRefT22_6x_0)</f>
        <v>25000</v>
      </c>
      <c r="U46" s="1"/>
      <c r="V46" s="5">
        <f t="shared" si="21"/>
        <v>0</v>
      </c>
      <c r="W46" s="1"/>
      <c r="X46" s="1">
        <f t="shared" si="22"/>
        <v>300</v>
      </c>
      <c r="Y46" s="1"/>
      <c r="Z46" s="5">
        <f t="shared" si="23"/>
        <v>1.2E-2</v>
      </c>
    </row>
    <row r="47" spans="1:26" s="24" customFormat="1" hidden="1" outlineLevel="2" x14ac:dyDescent="0.3">
      <c r="A47" s="27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25300</v>
      </c>
      <c r="Q47" s="2"/>
      <c r="R47" s="6">
        <f t="shared" si="20"/>
        <v>0</v>
      </c>
      <c r="S47" s="2"/>
      <c r="T47" s="7">
        <v>25000</v>
      </c>
      <c r="U47" s="2"/>
      <c r="V47" s="6">
        <f t="shared" si="21"/>
        <v>0</v>
      </c>
      <c r="W47" s="2"/>
      <c r="X47" s="7">
        <f t="shared" si="22"/>
        <v>300</v>
      </c>
      <c r="Y47" s="2"/>
      <c r="Z47" s="6">
        <f t="shared" si="23"/>
        <v>1.2E-2</v>
      </c>
    </row>
    <row r="48" spans="1:26" s="29" customFormat="1" outlineLevel="1" collapsed="1" x14ac:dyDescent="0.3">
      <c r="A48" s="28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SUM(OSRRefD22_7x_0)</f>
        <v>635.58000000000004</v>
      </c>
      <c r="E48" s="1"/>
      <c r="F48" s="5">
        <f t="shared" si="16"/>
        <v>0</v>
      </c>
      <c r="G48" s="1"/>
      <c r="H48" s="1">
        <f>SUM(OSRRefH22_7x_0)</f>
        <v>0</v>
      </c>
      <c r="I48" s="1"/>
      <c r="J48" s="5">
        <f t="shared" si="17"/>
        <v>0</v>
      </c>
      <c r="K48" s="1"/>
      <c r="L48" s="1">
        <f t="shared" si="18"/>
        <v>635.58000000000004</v>
      </c>
      <c r="M48" s="1"/>
      <c r="N48" s="5">
        <f t="shared" si="19"/>
        <v>0</v>
      </c>
      <c r="O48" s="14"/>
      <c r="P48" s="1">
        <f>SUM(OSRRefP22_7x_0)</f>
        <v>643.6</v>
      </c>
      <c r="Q48" s="1"/>
      <c r="R48" s="5">
        <f t="shared" si="20"/>
        <v>0</v>
      </c>
      <c r="S48" s="1"/>
      <c r="T48" s="1">
        <f>SUM(OSRRefT22_7x_0)</f>
        <v>81.56</v>
      </c>
      <c r="U48" s="1"/>
      <c r="V48" s="5">
        <f t="shared" si="21"/>
        <v>0</v>
      </c>
      <c r="W48" s="1"/>
      <c r="X48" s="1">
        <f t="shared" si="22"/>
        <v>562.04</v>
      </c>
      <c r="Y48" s="1"/>
      <c r="Z48" s="5">
        <f t="shared" si="23"/>
        <v>6.8911230995586061</v>
      </c>
    </row>
    <row r="49" spans="1:26" s="24" customFormat="1" hidden="1" outlineLevel="2" x14ac:dyDescent="0.3">
      <c r="A49" s="27"/>
      <c r="B49" s="11" t="str">
        <f>CONCATENATE("          ", "6277", " - ", "EMPLOYEE APPRECIATION")</f>
        <v xml:space="preserve">          6277 - EMPLOYEE APPRECIATION</v>
      </c>
      <c r="C49" s="11"/>
      <c r="D49" s="7">
        <v>635.58000000000004</v>
      </c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635.58000000000004</v>
      </c>
      <c r="M49" s="2"/>
      <c r="N49" s="6">
        <f t="shared" si="19"/>
        <v>0</v>
      </c>
      <c r="O49" s="11"/>
      <c r="P49" s="7">
        <v>643.6</v>
      </c>
      <c r="Q49" s="2"/>
      <c r="R49" s="6">
        <f t="shared" si="20"/>
        <v>0</v>
      </c>
      <c r="S49" s="2"/>
      <c r="T49" s="7">
        <v>81.56</v>
      </c>
      <c r="U49" s="2"/>
      <c r="V49" s="6">
        <f t="shared" si="21"/>
        <v>0</v>
      </c>
      <c r="W49" s="2"/>
      <c r="X49" s="7">
        <f t="shared" si="22"/>
        <v>562.04</v>
      </c>
      <c r="Y49" s="2"/>
      <c r="Z49" s="6">
        <f t="shared" si="23"/>
        <v>6.8911230995586061</v>
      </c>
    </row>
    <row r="50" spans="1:26" s="29" customFormat="1" outlineLevel="1" collapsed="1" x14ac:dyDescent="0.3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SUM(OSRRefD22_8x_0)</f>
        <v>208.97</v>
      </c>
      <c r="E50" s="1"/>
      <c r="F50" s="5">
        <f t="shared" si="16"/>
        <v>0</v>
      </c>
      <c r="G50" s="1"/>
      <c r="H50" s="1">
        <f>SUM(OSRRefH22_8x_0)</f>
        <v>208.97</v>
      </c>
      <c r="I50" s="1"/>
      <c r="J50" s="5">
        <f t="shared" si="17"/>
        <v>0</v>
      </c>
      <c r="K50" s="1"/>
      <c r="L50" s="1">
        <f t="shared" si="18"/>
        <v>0</v>
      </c>
      <c r="M50" s="1"/>
      <c r="N50" s="5">
        <f t="shared" si="19"/>
        <v>0</v>
      </c>
      <c r="O50" s="14"/>
      <c r="P50" s="1">
        <f>SUM(OSRRefP22_8x_0)</f>
        <v>1462.79</v>
      </c>
      <c r="Q50" s="1"/>
      <c r="R50" s="5">
        <f t="shared" si="20"/>
        <v>0</v>
      </c>
      <c r="S50" s="1"/>
      <c r="T50" s="1">
        <f>SUM(OSRRefT22_8x_0)</f>
        <v>1462.79</v>
      </c>
      <c r="U50" s="1"/>
      <c r="V50" s="5">
        <f t="shared" si="21"/>
        <v>0</v>
      </c>
      <c r="W50" s="1"/>
      <c r="X50" s="1">
        <f t="shared" si="22"/>
        <v>0</v>
      </c>
      <c r="Y50" s="1"/>
      <c r="Z50" s="5">
        <f t="shared" si="23"/>
        <v>0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208.97</v>
      </c>
      <c r="E51" s="2"/>
      <c r="F51" s="6">
        <f t="shared" si="16"/>
        <v>0</v>
      </c>
      <c r="G51" s="2"/>
      <c r="H51" s="7">
        <v>208.97</v>
      </c>
      <c r="I51" s="2"/>
      <c r="J51" s="6">
        <f t="shared" si="17"/>
        <v>0</v>
      </c>
      <c r="K51" s="2"/>
      <c r="L51" s="7">
        <f t="shared" si="18"/>
        <v>0</v>
      </c>
      <c r="M51" s="2"/>
      <c r="N51" s="6">
        <f t="shared" si="19"/>
        <v>0</v>
      </c>
      <c r="O51" s="11"/>
      <c r="P51" s="7">
        <v>1462.79</v>
      </c>
      <c r="Q51" s="2"/>
      <c r="R51" s="6">
        <f t="shared" si="20"/>
        <v>0</v>
      </c>
      <c r="S51" s="2"/>
      <c r="T51" s="7">
        <v>1462.79</v>
      </c>
      <c r="U51" s="2"/>
      <c r="V51" s="6">
        <f t="shared" si="21"/>
        <v>0</v>
      </c>
      <c r="W51" s="2"/>
      <c r="X51" s="7">
        <f t="shared" si="22"/>
        <v>0</v>
      </c>
      <c r="Y51" s="2"/>
      <c r="Z51" s="6">
        <f t="shared" si="23"/>
        <v>0</v>
      </c>
    </row>
    <row r="52" spans="1:26" s="29" customFormat="1" outlineLevel="1" collapsed="1" x14ac:dyDescent="0.3">
      <c r="A52" s="28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SUM(OSRRefD22_9x_0)</f>
        <v>125.8</v>
      </c>
      <c r="E52" s="1"/>
      <c r="F52" s="5">
        <f t="shared" si="16"/>
        <v>0</v>
      </c>
      <c r="G52" s="1"/>
      <c r="H52" s="1">
        <f>SUM(OSRRefH22_9x_0)</f>
        <v>114.28</v>
      </c>
      <c r="I52" s="1"/>
      <c r="J52" s="5">
        <f t="shared" si="17"/>
        <v>0</v>
      </c>
      <c r="K52" s="1"/>
      <c r="L52" s="1">
        <f t="shared" si="18"/>
        <v>11.519999999999996</v>
      </c>
      <c r="M52" s="1"/>
      <c r="N52" s="5">
        <f t="shared" si="19"/>
        <v>0.10080504025201256</v>
      </c>
      <c r="O52" s="14"/>
      <c r="P52" s="1">
        <f>SUM(OSRRefP22_9x_0)</f>
        <v>1143.81</v>
      </c>
      <c r="Q52" s="1"/>
      <c r="R52" s="5">
        <f t="shared" si="20"/>
        <v>0</v>
      </c>
      <c r="S52" s="1"/>
      <c r="T52" s="1">
        <f>SUM(OSRRefT22_9x_0)</f>
        <v>895.44999999999993</v>
      </c>
      <c r="U52" s="1"/>
      <c r="V52" s="5">
        <f t="shared" si="21"/>
        <v>0</v>
      </c>
      <c r="W52" s="1"/>
      <c r="X52" s="1">
        <f t="shared" si="22"/>
        <v>248.36</v>
      </c>
      <c r="Y52" s="1"/>
      <c r="Z52" s="5">
        <f t="shared" si="23"/>
        <v>0.27735775308504107</v>
      </c>
    </row>
    <row r="53" spans="1:26" s="24" customFormat="1" hidden="1" outlineLevel="2" x14ac:dyDescent="0.3">
      <c r="A53" s="27"/>
      <c r="B53" s="11" t="str">
        <f>CONCATENATE("          ", "6305", " - ", "FREIGHT OUT")</f>
        <v xml:space="preserve">          6305 - FREIGHT OUT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5.41</v>
      </c>
      <c r="U53" s="2"/>
      <c r="V53" s="6">
        <f t="shared" si="21"/>
        <v>0</v>
      </c>
      <c r="W53" s="2"/>
      <c r="X53" s="7">
        <f t="shared" si="22"/>
        <v>-5.41</v>
      </c>
      <c r="Y53" s="2"/>
      <c r="Z53" s="6">
        <f t="shared" si="23"/>
        <v>-1</v>
      </c>
    </row>
    <row r="54" spans="1:26" s="24" customFormat="1" hidden="1" outlineLevel="2" x14ac:dyDescent="0.3">
      <c r="A54" s="27"/>
      <c r="B54" s="11" t="str">
        <f>CONCATENATE("          ", "6307", " - ", "POSTAGE")</f>
        <v xml:space="preserve">          6307 - POSTAGE</v>
      </c>
      <c r="C54" s="11"/>
      <c r="D54" s="7">
        <v>125.8</v>
      </c>
      <c r="E54" s="2"/>
      <c r="F54" s="6">
        <f t="shared" si="16"/>
        <v>0</v>
      </c>
      <c r="G54" s="2"/>
      <c r="H54" s="7">
        <v>114.28</v>
      </c>
      <c r="I54" s="2"/>
      <c r="J54" s="6">
        <f t="shared" si="17"/>
        <v>0</v>
      </c>
      <c r="K54" s="2"/>
      <c r="L54" s="7">
        <f t="shared" si="18"/>
        <v>11.519999999999996</v>
      </c>
      <c r="M54" s="2"/>
      <c r="N54" s="6">
        <f t="shared" si="19"/>
        <v>0.10080504025201256</v>
      </c>
      <c r="O54" s="11"/>
      <c r="P54" s="7">
        <v>1143.81</v>
      </c>
      <c r="Q54" s="2"/>
      <c r="R54" s="6">
        <f t="shared" si="20"/>
        <v>0</v>
      </c>
      <c r="S54" s="2"/>
      <c r="T54" s="7">
        <v>890.04</v>
      </c>
      <c r="U54" s="2"/>
      <c r="V54" s="6">
        <f t="shared" si="21"/>
        <v>0</v>
      </c>
      <c r="W54" s="2"/>
      <c r="X54" s="7">
        <f t="shared" si="22"/>
        <v>253.76999999999998</v>
      </c>
      <c r="Y54" s="2"/>
      <c r="Z54" s="6">
        <f t="shared" si="23"/>
        <v>0.28512201698800055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53.5</v>
      </c>
      <c r="E55" s="1"/>
      <c r="F55" s="5">
        <f t="shared" ref="F55:F62" si="24">IF(D$12=0,0,D55/D$12)</f>
        <v>0</v>
      </c>
      <c r="G55" s="1"/>
      <c r="H55" s="1">
        <f>SUM(OSRRefH22_10x_0)</f>
        <v>261.2</v>
      </c>
      <c r="I55" s="1"/>
      <c r="J55" s="5">
        <f t="shared" ref="J55:J62" si="25">IF(H$12=0,0,H55/H$12)</f>
        <v>0</v>
      </c>
      <c r="K55" s="1"/>
      <c r="L55" s="1">
        <f t="shared" ref="L55:L62" si="26">+D55-H55</f>
        <v>-207.7</v>
      </c>
      <c r="M55" s="1"/>
      <c r="N55" s="5">
        <f t="shared" ref="N55:N62" si="27">IF(H55=0,0,L55/H55)</f>
        <v>-0.79517611026033685</v>
      </c>
      <c r="O55" s="14"/>
      <c r="P55" s="1">
        <f>SUM(OSRRefP22_10x_0)</f>
        <v>1827.18</v>
      </c>
      <c r="Q55" s="1"/>
      <c r="R55" s="5">
        <f t="shared" ref="R55:R62" si="28">IF(P$12=0,0,P55/P$12)</f>
        <v>0</v>
      </c>
      <c r="S55" s="1"/>
      <c r="T55" s="1">
        <f>SUM(OSRRefT22_10x_0)</f>
        <v>427.74</v>
      </c>
      <c r="U55" s="1"/>
      <c r="V55" s="5">
        <f t="shared" ref="V55:V62" si="29">IF(T$12=0,0,T55/T$12)</f>
        <v>0</v>
      </c>
      <c r="W55" s="1"/>
      <c r="X55" s="1">
        <f t="shared" ref="X55:X62" si="30">+P55-T55</f>
        <v>1399.44</v>
      </c>
      <c r="Y55" s="1"/>
      <c r="Z55" s="5">
        <f t="shared" ref="Z55:Z62" si="31">IF(T55=0,0,X55/T55)</f>
        <v>3.2717071117968861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7">
        <v>53.5</v>
      </c>
      <c r="E56" s="2"/>
      <c r="F56" s="6">
        <f t="shared" si="24"/>
        <v>0</v>
      </c>
      <c r="G56" s="2"/>
      <c r="H56" s="7">
        <v>261.2</v>
      </c>
      <c r="I56" s="2"/>
      <c r="J56" s="6">
        <f t="shared" si="25"/>
        <v>0</v>
      </c>
      <c r="K56" s="2"/>
      <c r="L56" s="7">
        <f t="shared" si="26"/>
        <v>-207.7</v>
      </c>
      <c r="M56" s="2"/>
      <c r="N56" s="6">
        <f t="shared" si="27"/>
        <v>-0.79517611026033685</v>
      </c>
      <c r="O56" s="11"/>
      <c r="P56" s="7">
        <v>1827.18</v>
      </c>
      <c r="Q56" s="2"/>
      <c r="R56" s="6">
        <f t="shared" si="28"/>
        <v>0</v>
      </c>
      <c r="S56" s="2"/>
      <c r="T56" s="7">
        <v>427.74</v>
      </c>
      <c r="U56" s="2"/>
      <c r="V56" s="6">
        <f t="shared" si="29"/>
        <v>0</v>
      </c>
      <c r="W56" s="2"/>
      <c r="X56" s="7">
        <f t="shared" si="30"/>
        <v>1399.44</v>
      </c>
      <c r="Y56" s="2"/>
      <c r="Z56" s="6">
        <f t="shared" si="31"/>
        <v>3.2717071117968861</v>
      </c>
    </row>
    <row r="57" spans="1:26" s="29" customFormat="1" outlineLevel="1" collapsed="1" x14ac:dyDescent="0.3">
      <c r="A57" s="28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535.05999999999995</v>
      </c>
      <c r="E57" s="1"/>
      <c r="F57" s="5">
        <f t="shared" si="24"/>
        <v>0</v>
      </c>
      <c r="G57" s="1"/>
      <c r="H57" s="1">
        <f>SUM(OSRRefH22_11x_0)</f>
        <v>393.67</v>
      </c>
      <c r="I57" s="1"/>
      <c r="J57" s="5">
        <f t="shared" si="25"/>
        <v>0</v>
      </c>
      <c r="K57" s="1"/>
      <c r="L57" s="1">
        <f t="shared" si="26"/>
        <v>141.38999999999993</v>
      </c>
      <c r="M57" s="1"/>
      <c r="N57" s="5">
        <f t="shared" si="27"/>
        <v>0.35915868620926139</v>
      </c>
      <c r="O57" s="14"/>
      <c r="P57" s="1">
        <f>SUM(OSRRefP22_11x_0)</f>
        <v>3745.42</v>
      </c>
      <c r="Q57" s="1"/>
      <c r="R57" s="5">
        <f t="shared" si="28"/>
        <v>0</v>
      </c>
      <c r="S57" s="1"/>
      <c r="T57" s="1">
        <f>SUM(OSRRefT22_11x_0)</f>
        <v>2755.69</v>
      </c>
      <c r="U57" s="1"/>
      <c r="V57" s="5">
        <f t="shared" si="29"/>
        <v>0</v>
      </c>
      <c r="W57" s="1"/>
      <c r="X57" s="1">
        <f t="shared" si="30"/>
        <v>989.73</v>
      </c>
      <c r="Y57" s="1"/>
      <c r="Z57" s="5">
        <f t="shared" si="31"/>
        <v>0.35915868620926156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7">
        <v>535.05999999999995</v>
      </c>
      <c r="E58" s="2"/>
      <c r="F58" s="6">
        <f t="shared" si="24"/>
        <v>0</v>
      </c>
      <c r="G58" s="2"/>
      <c r="H58" s="7">
        <v>393.67</v>
      </c>
      <c r="I58" s="2"/>
      <c r="J58" s="6">
        <f t="shared" si="25"/>
        <v>0</v>
      </c>
      <c r="K58" s="2"/>
      <c r="L58" s="7">
        <f t="shared" si="26"/>
        <v>141.38999999999993</v>
      </c>
      <c r="M58" s="2"/>
      <c r="N58" s="6">
        <f t="shared" si="27"/>
        <v>0.35915868620926139</v>
      </c>
      <c r="O58" s="11"/>
      <c r="P58" s="7">
        <v>3745.42</v>
      </c>
      <c r="Q58" s="2"/>
      <c r="R58" s="6">
        <f t="shared" si="28"/>
        <v>0</v>
      </c>
      <c r="S58" s="2"/>
      <c r="T58" s="7">
        <v>2755.69</v>
      </c>
      <c r="U58" s="2"/>
      <c r="V58" s="6">
        <f t="shared" si="29"/>
        <v>0</v>
      </c>
      <c r="W58" s="2"/>
      <c r="X58" s="7">
        <f t="shared" si="30"/>
        <v>989.73</v>
      </c>
      <c r="Y58" s="2"/>
      <c r="Z58" s="6">
        <f t="shared" si="31"/>
        <v>0.35915868620926156</v>
      </c>
    </row>
    <row r="59" spans="1:26" s="29" customFormat="1" outlineLevel="1" collapsed="1" x14ac:dyDescent="0.3">
      <c r="A59" s="28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SUM(OSRRefD22_12x_0)</f>
        <v>10588.85</v>
      </c>
      <c r="E59" s="1"/>
      <c r="F59" s="5">
        <f t="shared" si="24"/>
        <v>0</v>
      </c>
      <c r="G59" s="1"/>
      <c r="H59" s="1">
        <f>SUM(OSRRefH22_12x_0)</f>
        <v>14763.05</v>
      </c>
      <c r="I59" s="1"/>
      <c r="J59" s="5">
        <f t="shared" si="25"/>
        <v>0</v>
      </c>
      <c r="K59" s="1"/>
      <c r="L59" s="1">
        <f t="shared" si="26"/>
        <v>-4174.1999999999989</v>
      </c>
      <c r="M59" s="1"/>
      <c r="N59" s="5">
        <f t="shared" si="27"/>
        <v>-0.28274645144465399</v>
      </c>
      <c r="O59" s="14"/>
      <c r="P59" s="1">
        <f>SUM(OSRRefP22_12x_0)</f>
        <v>93596.93</v>
      </c>
      <c r="Q59" s="1"/>
      <c r="R59" s="5">
        <f t="shared" si="28"/>
        <v>0</v>
      </c>
      <c r="S59" s="1"/>
      <c r="T59" s="1">
        <f>SUM(OSRRefT22_12x_0)</f>
        <v>93456.37000000001</v>
      </c>
      <c r="U59" s="1"/>
      <c r="V59" s="5">
        <f t="shared" si="29"/>
        <v>0</v>
      </c>
      <c r="W59" s="1"/>
      <c r="X59" s="1">
        <f t="shared" si="30"/>
        <v>140.55999999998312</v>
      </c>
      <c r="Y59" s="1"/>
      <c r="Z59" s="5">
        <f t="shared" si="31"/>
        <v>1.5040173291556596E-3</v>
      </c>
    </row>
    <row r="60" spans="1:26" s="24" customFormat="1" hidden="1" outlineLevel="2" x14ac:dyDescent="0.3">
      <c r="A60" s="27"/>
      <c r="B60" s="11" t="str">
        <f>CONCATENATE("          ", "6331", " - ", "INDIRECT COSTS-AUXILIARY ORGAN")</f>
        <v xml:space="preserve">          6331 - INDIRECT COSTS-AUXILIARY ORGAN</v>
      </c>
      <c r="C60" s="11"/>
      <c r="D60" s="7">
        <v>10337.75</v>
      </c>
      <c r="E60" s="2"/>
      <c r="F60" s="6">
        <f t="shared" si="24"/>
        <v>0</v>
      </c>
      <c r="G60" s="2"/>
      <c r="H60" s="7">
        <v>11585.75</v>
      </c>
      <c r="I60" s="2"/>
      <c r="J60" s="6">
        <f t="shared" si="25"/>
        <v>0</v>
      </c>
      <c r="K60" s="2"/>
      <c r="L60" s="7">
        <f t="shared" si="26"/>
        <v>-1248</v>
      </c>
      <c r="M60" s="2"/>
      <c r="N60" s="6">
        <f t="shared" si="27"/>
        <v>-0.10771853354336146</v>
      </c>
      <c r="O60" s="11"/>
      <c r="P60" s="7">
        <v>79513.25</v>
      </c>
      <c r="Q60" s="2"/>
      <c r="R60" s="6">
        <f t="shared" si="28"/>
        <v>0</v>
      </c>
      <c r="S60" s="2"/>
      <c r="T60" s="7">
        <v>80832.25</v>
      </c>
      <c r="U60" s="2"/>
      <c r="V60" s="6">
        <f t="shared" si="29"/>
        <v>0</v>
      </c>
      <c r="W60" s="2"/>
      <c r="X60" s="7">
        <f t="shared" si="30"/>
        <v>-1319</v>
      </c>
      <c r="Y60" s="2"/>
      <c r="Z60" s="6">
        <f t="shared" si="31"/>
        <v>-1.6317744464616535E-2</v>
      </c>
    </row>
    <row r="61" spans="1:26" s="24" customFormat="1" hidden="1" outlineLevel="2" x14ac:dyDescent="0.3">
      <c r="A61" s="27"/>
      <c r="B61" s="11" t="str">
        <f>CONCATENATE("          ", "6334", " - ", "LEGAL COUNCIL EXPENSE")</f>
        <v xml:space="preserve">          6334 - LEGAL COUNCIL EXPENSE</v>
      </c>
      <c r="C61" s="11"/>
      <c r="D61" s="7"/>
      <c r="E61" s="2"/>
      <c r="F61" s="6">
        <f t="shared" si="24"/>
        <v>0</v>
      </c>
      <c r="G61" s="2"/>
      <c r="H61" s="7">
        <v>1225</v>
      </c>
      <c r="I61" s="2"/>
      <c r="J61" s="6">
        <f t="shared" si="25"/>
        <v>0</v>
      </c>
      <c r="K61" s="2"/>
      <c r="L61" s="7">
        <f t="shared" si="26"/>
        <v>-1225</v>
      </c>
      <c r="M61" s="2"/>
      <c r="N61" s="6">
        <f t="shared" si="27"/>
        <v>-1</v>
      </c>
      <c r="O61" s="11"/>
      <c r="P61" s="7">
        <v>3455</v>
      </c>
      <c r="Q61" s="2"/>
      <c r="R61" s="6">
        <f t="shared" si="28"/>
        <v>0</v>
      </c>
      <c r="S61" s="2"/>
      <c r="T61" s="7">
        <v>6254.24</v>
      </c>
      <c r="U61" s="2"/>
      <c r="V61" s="6">
        <f t="shared" si="29"/>
        <v>0</v>
      </c>
      <c r="W61" s="2"/>
      <c r="X61" s="7">
        <f t="shared" si="30"/>
        <v>-2799.24</v>
      </c>
      <c r="Y61" s="2"/>
      <c r="Z61" s="6">
        <f t="shared" si="31"/>
        <v>-0.44757476527923457</v>
      </c>
    </row>
    <row r="62" spans="1:26" s="24" customFormat="1" hidden="1" outlineLevel="2" x14ac:dyDescent="0.3">
      <c r="A62" s="27"/>
      <c r="B62" s="11" t="str">
        <f>CONCATENATE("          ", "6336", " - ", "PROFESSIONAL SERVICES")</f>
        <v xml:space="preserve">          6336 - PROFESSIONAL SERVICES</v>
      </c>
      <c r="C62" s="11"/>
      <c r="D62" s="7">
        <v>251.1</v>
      </c>
      <c r="E62" s="2"/>
      <c r="F62" s="6">
        <f t="shared" si="24"/>
        <v>0</v>
      </c>
      <c r="G62" s="2"/>
      <c r="H62" s="7">
        <v>1952.3</v>
      </c>
      <c r="I62" s="2"/>
      <c r="J62" s="6">
        <f t="shared" si="25"/>
        <v>0</v>
      </c>
      <c r="K62" s="2"/>
      <c r="L62" s="7">
        <f t="shared" si="26"/>
        <v>-1701.2</v>
      </c>
      <c r="M62" s="2"/>
      <c r="N62" s="6">
        <f t="shared" si="27"/>
        <v>-0.87138247195615437</v>
      </c>
      <c r="O62" s="11"/>
      <c r="P62" s="7">
        <v>10628.68</v>
      </c>
      <c r="Q62" s="2"/>
      <c r="R62" s="6">
        <f t="shared" si="28"/>
        <v>0</v>
      </c>
      <c r="S62" s="2"/>
      <c r="T62" s="7">
        <v>6369.88</v>
      </c>
      <c r="U62" s="2"/>
      <c r="V62" s="6">
        <f t="shared" si="29"/>
        <v>0</v>
      </c>
      <c r="W62" s="2"/>
      <c r="X62" s="7">
        <f t="shared" si="30"/>
        <v>4258.8</v>
      </c>
      <c r="Y62" s="2"/>
      <c r="Z62" s="6">
        <f t="shared" si="31"/>
        <v>0.66858402356088342</v>
      </c>
    </row>
    <row r="63" spans="1:26" s="29" customFormat="1" outlineLevel="1" collapsed="1" x14ac:dyDescent="0.3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SUM(OSRRefD22_13x_0)</f>
        <v>28125.14</v>
      </c>
      <c r="E63" s="1"/>
      <c r="F63" s="5">
        <f t="shared" ref="F63:F67" si="32">IF(D$12=0,0,D63/D$12)</f>
        <v>0</v>
      </c>
      <c r="G63" s="1"/>
      <c r="H63" s="1">
        <f>SUM(OSRRefH22_13x_0)</f>
        <v>24215.309999999998</v>
      </c>
      <c r="I63" s="1"/>
      <c r="J63" s="5">
        <f t="shared" ref="J63:J67" si="33">IF(H$12=0,0,H63/H$12)</f>
        <v>0</v>
      </c>
      <c r="K63" s="1"/>
      <c r="L63" s="1">
        <f t="shared" ref="L63:L67" si="34">+D63-H63</f>
        <v>3909.8300000000017</v>
      </c>
      <c r="M63" s="1"/>
      <c r="N63" s="5">
        <f t="shared" ref="N63:N67" si="35">IF(H63=0,0,L63/H63)</f>
        <v>0.16146107565833359</v>
      </c>
      <c r="O63" s="14"/>
      <c r="P63" s="1">
        <f>SUM(OSRRefP22_13x_0)</f>
        <v>142005.07999999999</v>
      </c>
      <c r="Q63" s="1"/>
      <c r="R63" s="5">
        <f t="shared" ref="R63:R67" si="36">IF(P$12=0,0,P63/P$12)</f>
        <v>0</v>
      </c>
      <c r="S63" s="1"/>
      <c r="T63" s="1">
        <f>SUM(OSRRefT22_13x_0)</f>
        <v>141037.22</v>
      </c>
      <c r="U63" s="1"/>
      <c r="V63" s="5">
        <f t="shared" ref="V63:V67" si="37">IF(T$12=0,0,T63/T$12)</f>
        <v>0</v>
      </c>
      <c r="W63" s="1"/>
      <c r="X63" s="1">
        <f t="shared" ref="X63:X67" si="38">+P63-T63</f>
        <v>967.85999999998603</v>
      </c>
      <c r="Y63" s="1"/>
      <c r="Z63" s="5">
        <f t="shared" ref="Z63:Z67" si="39">IF(T63=0,0,X63/T63)</f>
        <v>6.8624438286573287E-3</v>
      </c>
    </row>
    <row r="64" spans="1:26" s="24" customFormat="1" hidden="1" outlineLevel="2" x14ac:dyDescent="0.3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7">
        <v>7179.51</v>
      </c>
      <c r="E64" s="2"/>
      <c r="F64" s="6">
        <f t="shared" si="32"/>
        <v>0</v>
      </c>
      <c r="G64" s="2"/>
      <c r="H64" s="7">
        <v>4135.6499999999996</v>
      </c>
      <c r="I64" s="2"/>
      <c r="J64" s="6">
        <f t="shared" si="33"/>
        <v>0</v>
      </c>
      <c r="K64" s="2"/>
      <c r="L64" s="7">
        <f t="shared" si="34"/>
        <v>3043.8600000000006</v>
      </c>
      <c r="M64" s="2"/>
      <c r="N64" s="6">
        <f t="shared" si="35"/>
        <v>0.7360052228791123</v>
      </c>
      <c r="O64" s="11"/>
      <c r="P64" s="7">
        <v>43581.84</v>
      </c>
      <c r="Q64" s="2"/>
      <c r="R64" s="6">
        <f t="shared" si="36"/>
        <v>0</v>
      </c>
      <c r="S64" s="2"/>
      <c r="T64" s="7">
        <v>30329.26</v>
      </c>
      <c r="U64" s="2"/>
      <c r="V64" s="6">
        <f t="shared" si="37"/>
        <v>0</v>
      </c>
      <c r="W64" s="2"/>
      <c r="X64" s="7">
        <f t="shared" si="38"/>
        <v>13252.579999999998</v>
      </c>
      <c r="Y64" s="2"/>
      <c r="Z64" s="6">
        <f t="shared" si="39"/>
        <v>0.43695691883019894</v>
      </c>
    </row>
    <row r="65" spans="1:26" s="24" customFormat="1" hidden="1" outlineLevel="2" x14ac:dyDescent="0.3">
      <c r="A65" s="27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2"/>
        <v>0</v>
      </c>
      <c r="G65" s="2"/>
      <c r="H65" s="7"/>
      <c r="I65" s="2"/>
      <c r="J65" s="6">
        <f t="shared" si="33"/>
        <v>0</v>
      </c>
      <c r="K65" s="2"/>
      <c r="L65" s="7">
        <f t="shared" si="34"/>
        <v>0</v>
      </c>
      <c r="M65" s="2"/>
      <c r="N65" s="6">
        <f t="shared" si="35"/>
        <v>0</v>
      </c>
      <c r="O65" s="11"/>
      <c r="P65" s="7">
        <v>4760.47</v>
      </c>
      <c r="Q65" s="2"/>
      <c r="R65" s="6">
        <f t="shared" si="36"/>
        <v>0</v>
      </c>
      <c r="S65" s="2"/>
      <c r="T65" s="7"/>
      <c r="U65" s="2"/>
      <c r="V65" s="6">
        <f t="shared" si="37"/>
        <v>0</v>
      </c>
      <c r="W65" s="2"/>
      <c r="X65" s="7">
        <f t="shared" si="38"/>
        <v>4760.47</v>
      </c>
      <c r="Y65" s="2"/>
      <c r="Z65" s="6">
        <f t="shared" si="39"/>
        <v>0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7">
        <v>20945.63</v>
      </c>
      <c r="E66" s="2"/>
      <c r="F66" s="6">
        <f t="shared" si="32"/>
        <v>0</v>
      </c>
      <c r="G66" s="2"/>
      <c r="H66" s="7">
        <v>20079.66</v>
      </c>
      <c r="I66" s="2"/>
      <c r="J66" s="6">
        <f t="shared" si="33"/>
        <v>0</v>
      </c>
      <c r="K66" s="2"/>
      <c r="L66" s="7">
        <f t="shared" si="34"/>
        <v>865.97000000000116</v>
      </c>
      <c r="M66" s="2"/>
      <c r="N66" s="6">
        <f t="shared" si="35"/>
        <v>4.31267262493489E-2</v>
      </c>
      <c r="O66" s="11"/>
      <c r="P66" s="7">
        <v>91823.5</v>
      </c>
      <c r="Q66" s="2"/>
      <c r="R66" s="6">
        <f t="shared" si="36"/>
        <v>0</v>
      </c>
      <c r="S66" s="2"/>
      <c r="T66" s="7">
        <v>108537.67</v>
      </c>
      <c r="U66" s="2"/>
      <c r="V66" s="6">
        <f t="shared" si="37"/>
        <v>0</v>
      </c>
      <c r="W66" s="2"/>
      <c r="X66" s="7">
        <f t="shared" si="38"/>
        <v>-16714.169999999998</v>
      </c>
      <c r="Y66" s="2"/>
      <c r="Z66" s="6">
        <f t="shared" si="39"/>
        <v>-0.15399418469182172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1839.27</v>
      </c>
      <c r="Q67" s="2"/>
      <c r="R67" s="6">
        <f t="shared" si="36"/>
        <v>0</v>
      </c>
      <c r="S67" s="2"/>
      <c r="T67" s="7">
        <v>2170.29</v>
      </c>
      <c r="U67" s="2"/>
      <c r="V67" s="6">
        <f t="shared" si="37"/>
        <v>0</v>
      </c>
      <c r="W67" s="2"/>
      <c r="X67" s="7">
        <f t="shared" si="38"/>
        <v>-331.02</v>
      </c>
      <c r="Y67" s="2"/>
      <c r="Z67" s="6">
        <f t="shared" si="39"/>
        <v>-0.15252339549092517</v>
      </c>
    </row>
    <row r="68" spans="1:26" s="29" customFormat="1" outlineLevel="1" collapsed="1" x14ac:dyDescent="0.3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SUM(OSRRefD22_14x_0)</f>
        <v>1208.05</v>
      </c>
      <c r="E68" s="1"/>
      <c r="F68" s="5">
        <f t="shared" ref="F68:F77" si="40">IF(D$12=0,0,D68/D$12)</f>
        <v>0</v>
      </c>
      <c r="G68" s="1"/>
      <c r="H68" s="1">
        <f>SUM(OSRRefH22_14x_0)</f>
        <v>632.79999999999995</v>
      </c>
      <c r="I68" s="1"/>
      <c r="J68" s="5">
        <f t="shared" ref="J68:J77" si="41">IF(H$12=0,0,H68/H$12)</f>
        <v>0</v>
      </c>
      <c r="K68" s="1"/>
      <c r="L68" s="1">
        <f t="shared" ref="L68:L77" si="42">+D68-H68</f>
        <v>575.25</v>
      </c>
      <c r="M68" s="1"/>
      <c r="N68" s="5">
        <f t="shared" ref="N68:N77" si="43">IF(H68=0,0,L68/H68)</f>
        <v>0.90905499367888754</v>
      </c>
      <c r="O68" s="14"/>
      <c r="P68" s="1">
        <f>SUM(OSRRefP22_14x_0)</f>
        <v>5205.46</v>
      </c>
      <c r="Q68" s="1"/>
      <c r="R68" s="5">
        <f t="shared" ref="R68:R77" si="44">IF(P$12=0,0,P68/P$12)</f>
        <v>0</v>
      </c>
      <c r="S68" s="1"/>
      <c r="T68" s="1">
        <f>SUM(OSRRefT22_14x_0)</f>
        <v>3707.68</v>
      </c>
      <c r="U68" s="1"/>
      <c r="V68" s="5">
        <f t="shared" ref="V68:V77" si="45">IF(T$12=0,0,T68/T$12)</f>
        <v>0</v>
      </c>
      <c r="W68" s="1"/>
      <c r="X68" s="1">
        <f t="shared" ref="X68:X77" si="46">+P68-T68</f>
        <v>1497.7800000000002</v>
      </c>
      <c r="Y68" s="1"/>
      <c r="Z68" s="5">
        <f t="shared" ref="Z68:Z77" si="47">IF(T68=0,0,X68/T68)</f>
        <v>0.4039669011349416</v>
      </c>
    </row>
    <row r="69" spans="1:26" s="24" customFormat="1" hidden="1" outlineLevel="2" x14ac:dyDescent="0.3">
      <c r="A69" s="27"/>
      <c r="B69" s="11" t="str">
        <f>CONCATENATE("          ", "6281", " - ", "STORAGE FEE")</f>
        <v xml:space="preserve">          6281 - STORAGE FEE</v>
      </c>
      <c r="C69" s="11"/>
      <c r="D69" s="7">
        <v>1208.05</v>
      </c>
      <c r="E69" s="2"/>
      <c r="F69" s="6">
        <f t="shared" si="40"/>
        <v>0</v>
      </c>
      <c r="G69" s="2"/>
      <c r="H69" s="7">
        <v>632.79999999999995</v>
      </c>
      <c r="I69" s="2"/>
      <c r="J69" s="6">
        <f t="shared" si="41"/>
        <v>0</v>
      </c>
      <c r="K69" s="2"/>
      <c r="L69" s="7">
        <f t="shared" si="42"/>
        <v>575.25</v>
      </c>
      <c r="M69" s="2"/>
      <c r="N69" s="6">
        <f t="shared" si="43"/>
        <v>0.90905499367888754</v>
      </c>
      <c r="O69" s="11"/>
      <c r="P69" s="7">
        <v>5205.46</v>
      </c>
      <c r="Q69" s="2"/>
      <c r="R69" s="6">
        <f t="shared" si="44"/>
        <v>0</v>
      </c>
      <c r="S69" s="2"/>
      <c r="T69" s="7">
        <v>3707.68</v>
      </c>
      <c r="U69" s="2"/>
      <c r="V69" s="6">
        <f t="shared" si="45"/>
        <v>0</v>
      </c>
      <c r="W69" s="2"/>
      <c r="X69" s="7">
        <f t="shared" si="46"/>
        <v>1497.7800000000002</v>
      </c>
      <c r="Y69" s="2"/>
      <c r="Z69" s="6">
        <f t="shared" si="47"/>
        <v>0.4039669011349416</v>
      </c>
    </row>
    <row r="70" spans="1:26" s="29" customFormat="1" outlineLevel="1" collapsed="1" x14ac:dyDescent="0.3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SUM(OSRRefD22_15x_0)</f>
        <v>0</v>
      </c>
      <c r="E70" s="1"/>
      <c r="F70" s="5">
        <f t="shared" si="40"/>
        <v>0</v>
      </c>
      <c r="G70" s="1"/>
      <c r="H70" s="1">
        <f>SUM(OSRRefH22_15x_0)</f>
        <v>0</v>
      </c>
      <c r="I70" s="1"/>
      <c r="J70" s="5">
        <f t="shared" si="41"/>
        <v>0</v>
      </c>
      <c r="K70" s="1"/>
      <c r="L70" s="1">
        <f t="shared" si="42"/>
        <v>0</v>
      </c>
      <c r="M70" s="1"/>
      <c r="N70" s="5">
        <f t="shared" si="43"/>
        <v>0</v>
      </c>
      <c r="O70" s="14"/>
      <c r="P70" s="1">
        <f>SUM(OSRRefP22_15x_0)</f>
        <v>2452</v>
      </c>
      <c r="Q70" s="1"/>
      <c r="R70" s="5">
        <f t="shared" si="44"/>
        <v>0</v>
      </c>
      <c r="S70" s="1"/>
      <c r="T70" s="1">
        <f>SUM(OSRRefT22_15x_0)</f>
        <v>2259.9899999999998</v>
      </c>
      <c r="U70" s="1"/>
      <c r="V70" s="5">
        <f t="shared" si="45"/>
        <v>0</v>
      </c>
      <c r="W70" s="1"/>
      <c r="X70" s="1">
        <f t="shared" si="46"/>
        <v>192.01000000000022</v>
      </c>
      <c r="Y70" s="1"/>
      <c r="Z70" s="5">
        <f t="shared" si="47"/>
        <v>8.496055292280065E-2</v>
      </c>
    </row>
    <row r="71" spans="1:26" s="24" customFormat="1" hidden="1" outlineLevel="2" x14ac:dyDescent="0.3">
      <c r="A71" s="27"/>
      <c r="B71" s="11" t="str">
        <f>CONCATENATE("          ", "6258", " - ", "MEMBERSHIP DUES")</f>
        <v xml:space="preserve">          6258 - MEMBERSHIP DUES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2452</v>
      </c>
      <c r="Q71" s="2"/>
      <c r="R71" s="6">
        <f t="shared" si="44"/>
        <v>0</v>
      </c>
      <c r="S71" s="2"/>
      <c r="T71" s="7">
        <v>2259.9899999999998</v>
      </c>
      <c r="U71" s="2"/>
      <c r="V71" s="6">
        <f t="shared" si="45"/>
        <v>0</v>
      </c>
      <c r="W71" s="2"/>
      <c r="X71" s="7">
        <f t="shared" si="46"/>
        <v>192.01000000000022</v>
      </c>
      <c r="Y71" s="2"/>
      <c r="Z71" s="6">
        <f t="shared" si="47"/>
        <v>8.496055292280065E-2</v>
      </c>
    </row>
    <row r="72" spans="1:26" s="29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SUM(OSRRefD22_16x_0)</f>
        <v>3379.99</v>
      </c>
      <c r="E72" s="1"/>
      <c r="F72" s="5">
        <f t="shared" si="40"/>
        <v>0</v>
      </c>
      <c r="G72" s="1"/>
      <c r="H72" s="1">
        <f>SUM(OSRRefH22_16x_0)</f>
        <v>862.65</v>
      </c>
      <c r="I72" s="1"/>
      <c r="J72" s="5">
        <f t="shared" si="41"/>
        <v>0</v>
      </c>
      <c r="K72" s="1"/>
      <c r="L72" s="1">
        <f t="shared" si="42"/>
        <v>2517.3399999999997</v>
      </c>
      <c r="M72" s="1"/>
      <c r="N72" s="5">
        <f t="shared" si="43"/>
        <v>2.9181475685388047</v>
      </c>
      <c r="O72" s="14"/>
      <c r="P72" s="1">
        <f>SUM(OSRRefP22_16x_0)</f>
        <v>14786.449999999999</v>
      </c>
      <c r="Q72" s="1"/>
      <c r="R72" s="5">
        <f t="shared" si="44"/>
        <v>0</v>
      </c>
      <c r="S72" s="1"/>
      <c r="T72" s="1">
        <f>SUM(OSRRefT22_16x_0)</f>
        <v>789.06999999999994</v>
      </c>
      <c r="U72" s="1"/>
      <c r="V72" s="5">
        <f t="shared" si="45"/>
        <v>0</v>
      </c>
      <c r="W72" s="1"/>
      <c r="X72" s="1">
        <f t="shared" si="46"/>
        <v>13997.38</v>
      </c>
      <c r="Y72" s="1"/>
      <c r="Z72" s="5">
        <f t="shared" si="47"/>
        <v>17.739085252258988</v>
      </c>
    </row>
    <row r="73" spans="1:26" s="24" customFormat="1" hidden="1" outlineLevel="2" x14ac:dyDescent="0.3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40"/>
        <v>0</v>
      </c>
      <c r="G73" s="2"/>
      <c r="H73" s="7"/>
      <c r="I73" s="2"/>
      <c r="J73" s="6">
        <f t="shared" si="41"/>
        <v>0</v>
      </c>
      <c r="K73" s="2"/>
      <c r="L73" s="7">
        <f t="shared" si="42"/>
        <v>0</v>
      </c>
      <c r="M73" s="2"/>
      <c r="N73" s="6">
        <f t="shared" si="43"/>
        <v>0</v>
      </c>
      <c r="O73" s="11"/>
      <c r="P73" s="7">
        <v>26.1</v>
      </c>
      <c r="Q73" s="2"/>
      <c r="R73" s="6">
        <f t="shared" si="44"/>
        <v>0</v>
      </c>
      <c r="S73" s="2"/>
      <c r="T73" s="7"/>
      <c r="U73" s="2"/>
      <c r="V73" s="6">
        <f t="shared" si="45"/>
        <v>0</v>
      </c>
      <c r="W73" s="2"/>
      <c r="X73" s="7">
        <f t="shared" si="46"/>
        <v>26.1</v>
      </c>
      <c r="Y73" s="2"/>
      <c r="Z73" s="6">
        <f t="shared" si="47"/>
        <v>0</v>
      </c>
    </row>
    <row r="74" spans="1:26" s="24" customFormat="1" hidden="1" outlineLevel="2" x14ac:dyDescent="0.3">
      <c r="A74" s="27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0</v>
      </c>
      <c r="M74" s="2"/>
      <c r="N74" s="6">
        <f t="shared" si="43"/>
        <v>0</v>
      </c>
      <c r="O74" s="11"/>
      <c r="P74" s="7">
        <v>2447.77</v>
      </c>
      <c r="Q74" s="2"/>
      <c r="R74" s="6">
        <f t="shared" si="44"/>
        <v>0</v>
      </c>
      <c r="S74" s="2"/>
      <c r="T74" s="7">
        <v>810.3</v>
      </c>
      <c r="U74" s="2"/>
      <c r="V74" s="6">
        <f t="shared" si="45"/>
        <v>0</v>
      </c>
      <c r="W74" s="2"/>
      <c r="X74" s="7">
        <f t="shared" si="46"/>
        <v>1637.47</v>
      </c>
      <c r="Y74" s="2"/>
      <c r="Z74" s="6">
        <f t="shared" si="47"/>
        <v>2.0208194495865732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7">
        <v>3379.99</v>
      </c>
      <c r="E75" s="2"/>
      <c r="F75" s="6">
        <f t="shared" si="40"/>
        <v>0</v>
      </c>
      <c r="G75" s="2"/>
      <c r="H75" s="7">
        <v>862.65</v>
      </c>
      <c r="I75" s="2"/>
      <c r="J75" s="6">
        <f t="shared" si="41"/>
        <v>0</v>
      </c>
      <c r="K75" s="2"/>
      <c r="L75" s="7">
        <f t="shared" si="42"/>
        <v>2517.3399999999997</v>
      </c>
      <c r="M75" s="2"/>
      <c r="N75" s="6">
        <f t="shared" si="43"/>
        <v>2.9181475685388047</v>
      </c>
      <c r="O75" s="11"/>
      <c r="P75" s="7">
        <v>8927.89</v>
      </c>
      <c r="Q75" s="2"/>
      <c r="R75" s="6">
        <f t="shared" si="44"/>
        <v>0</v>
      </c>
      <c r="S75" s="2"/>
      <c r="T75" s="7">
        <v>-243.94</v>
      </c>
      <c r="U75" s="2"/>
      <c r="V75" s="6">
        <f t="shared" si="45"/>
        <v>0</v>
      </c>
      <c r="W75" s="2"/>
      <c r="X75" s="7">
        <f t="shared" si="46"/>
        <v>9171.83</v>
      </c>
      <c r="Y75" s="2"/>
      <c r="Z75" s="6">
        <f t="shared" si="47"/>
        <v>-37.598712798229073</v>
      </c>
    </row>
    <row r="76" spans="1:26" s="24" customFormat="1" hidden="1" outlineLevel="2" x14ac:dyDescent="0.3">
      <c r="A76" s="27"/>
      <c r="B76" s="11" t="str">
        <f>CONCATENATE("          ", "6244", " - ", "SAFETY SUPPLY EXPENSE")</f>
        <v xml:space="preserve">          6244 - SAFETY SUPPLY EXPENSE</v>
      </c>
      <c r="C76" s="11"/>
      <c r="D76" s="7"/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0</v>
      </c>
      <c r="M76" s="2"/>
      <c r="N76" s="6">
        <f t="shared" si="43"/>
        <v>0</v>
      </c>
      <c r="O76" s="11"/>
      <c r="P76" s="7">
        <v>600</v>
      </c>
      <c r="Q76" s="2"/>
      <c r="R76" s="6">
        <f t="shared" si="44"/>
        <v>0</v>
      </c>
      <c r="S76" s="2"/>
      <c r="T76" s="7">
        <v>222.71</v>
      </c>
      <c r="U76" s="2"/>
      <c r="V76" s="6">
        <f t="shared" si="45"/>
        <v>0</v>
      </c>
      <c r="W76" s="2"/>
      <c r="X76" s="7">
        <f t="shared" si="46"/>
        <v>377.28999999999996</v>
      </c>
      <c r="Y76" s="2"/>
      <c r="Z76" s="6">
        <f t="shared" si="47"/>
        <v>1.6940864801760134</v>
      </c>
    </row>
    <row r="77" spans="1:26" s="24" customFormat="1" hidden="1" outlineLevel="2" x14ac:dyDescent="0.3">
      <c r="A77" s="27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40"/>
        <v>0</v>
      </c>
      <c r="G77" s="2"/>
      <c r="H77" s="7"/>
      <c r="I77" s="2"/>
      <c r="J77" s="6">
        <f t="shared" si="41"/>
        <v>0</v>
      </c>
      <c r="K77" s="2"/>
      <c r="L77" s="7">
        <f t="shared" si="42"/>
        <v>0</v>
      </c>
      <c r="M77" s="2"/>
      <c r="N77" s="6">
        <f t="shared" si="43"/>
        <v>0</v>
      </c>
      <c r="O77" s="11"/>
      <c r="P77" s="7">
        <v>2784.69</v>
      </c>
      <c r="Q77" s="2"/>
      <c r="R77" s="6">
        <f t="shared" si="44"/>
        <v>0</v>
      </c>
      <c r="S77" s="2"/>
      <c r="T77" s="7"/>
      <c r="U77" s="2"/>
      <c r="V77" s="6">
        <f t="shared" si="45"/>
        <v>0</v>
      </c>
      <c r="W77" s="2"/>
      <c r="X77" s="7">
        <f t="shared" si="46"/>
        <v>2784.69</v>
      </c>
      <c r="Y77" s="2"/>
      <c r="Z77" s="6">
        <f t="shared" si="47"/>
        <v>0</v>
      </c>
    </row>
    <row r="78" spans="1:26" s="29" customFormat="1" outlineLevel="1" collapsed="1" x14ac:dyDescent="0.3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SUM(OSRRefD22_17x_0)</f>
        <v>2406.9699999999998</v>
      </c>
      <c r="E78" s="1"/>
      <c r="F78" s="5">
        <f t="shared" ref="F78:F80" si="48">IF(D$12=0,0,D78/D$12)</f>
        <v>0</v>
      </c>
      <c r="G78" s="1"/>
      <c r="H78" s="1">
        <f>SUM(OSRRefH22_17x_0)</f>
        <v>1483.32</v>
      </c>
      <c r="I78" s="1"/>
      <c r="J78" s="5">
        <f t="shared" ref="J78:J80" si="49">IF(H$12=0,0,H78/H$12)</f>
        <v>0</v>
      </c>
      <c r="K78" s="1"/>
      <c r="L78" s="1">
        <f t="shared" ref="L78:L80" si="50">+D78-H78</f>
        <v>923.64999999999986</v>
      </c>
      <c r="M78" s="1"/>
      <c r="N78" s="5">
        <f t="shared" ref="N78:N80" si="51">IF(H78=0,0,L78/H78)</f>
        <v>0.62269099048081322</v>
      </c>
      <c r="O78" s="14"/>
      <c r="P78" s="1">
        <f>SUM(OSRRefP22_17x_0)</f>
        <v>16190.810000000001</v>
      </c>
      <c r="Q78" s="1"/>
      <c r="R78" s="5">
        <f t="shared" ref="R78:R80" si="52">IF(P$12=0,0,P78/P$12)</f>
        <v>0</v>
      </c>
      <c r="S78" s="1"/>
      <c r="T78" s="1">
        <f>SUM(OSRRefT22_17x_0)</f>
        <v>14669.14</v>
      </c>
      <c r="U78" s="1"/>
      <c r="V78" s="5">
        <f t="shared" ref="V78:V80" si="53">IF(T$12=0,0,T78/T$12)</f>
        <v>0</v>
      </c>
      <c r="W78" s="1"/>
      <c r="X78" s="1">
        <f t="shared" ref="X78:X80" si="54">+P78-T78</f>
        <v>1521.6700000000019</v>
      </c>
      <c r="Y78" s="1"/>
      <c r="Z78" s="5">
        <f t="shared" ref="Z78:Z80" si="55">IF(T78=0,0,X78/T78)</f>
        <v>0.10373273416164833</v>
      </c>
    </row>
    <row r="79" spans="1:26" s="24" customFormat="1" hidden="1" outlineLevel="2" x14ac:dyDescent="0.3">
      <c r="A79" s="27"/>
      <c r="B79" s="11" t="str">
        <f>CONCATENATE("          ", "6303", " - ", "DATA PHONE LINES")</f>
        <v xml:space="preserve">          6303 - DATA PHONE LINES</v>
      </c>
      <c r="C79" s="11"/>
      <c r="D79" s="7">
        <v>171.98</v>
      </c>
      <c r="E79" s="2"/>
      <c r="F79" s="6">
        <f t="shared" si="48"/>
        <v>0</v>
      </c>
      <c r="G79" s="2"/>
      <c r="H79" s="7">
        <v>158.97999999999999</v>
      </c>
      <c r="I79" s="2"/>
      <c r="J79" s="6">
        <f t="shared" si="49"/>
        <v>0</v>
      </c>
      <c r="K79" s="2"/>
      <c r="L79" s="7">
        <f t="shared" si="50"/>
        <v>13</v>
      </c>
      <c r="M79" s="2"/>
      <c r="N79" s="6">
        <f t="shared" si="51"/>
        <v>8.1771291986413391E-2</v>
      </c>
      <c r="O79" s="11"/>
      <c r="P79" s="7">
        <v>1081.8699999999999</v>
      </c>
      <c r="Q79" s="2"/>
      <c r="R79" s="6">
        <f t="shared" si="52"/>
        <v>0</v>
      </c>
      <c r="S79" s="2"/>
      <c r="T79" s="7">
        <v>923.88</v>
      </c>
      <c r="U79" s="2"/>
      <c r="V79" s="6">
        <f t="shared" si="53"/>
        <v>0</v>
      </c>
      <c r="W79" s="2"/>
      <c r="X79" s="7">
        <f t="shared" si="54"/>
        <v>157.9899999999999</v>
      </c>
      <c r="Y79" s="2"/>
      <c r="Z79" s="6">
        <f t="shared" si="55"/>
        <v>0.17100705719357481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7">
        <v>2234.9899999999998</v>
      </c>
      <c r="E80" s="2"/>
      <c r="F80" s="6">
        <f t="shared" si="48"/>
        <v>0</v>
      </c>
      <c r="G80" s="2"/>
      <c r="H80" s="7">
        <v>1324.34</v>
      </c>
      <c r="I80" s="2"/>
      <c r="J80" s="6">
        <f t="shared" si="49"/>
        <v>0</v>
      </c>
      <c r="K80" s="2"/>
      <c r="L80" s="7">
        <f t="shared" si="50"/>
        <v>910.64999999999986</v>
      </c>
      <c r="M80" s="2"/>
      <c r="N80" s="6">
        <f t="shared" si="51"/>
        <v>0.68762553422837025</v>
      </c>
      <c r="O80" s="11"/>
      <c r="P80" s="7">
        <v>15108.94</v>
      </c>
      <c r="Q80" s="2"/>
      <c r="R80" s="6">
        <f t="shared" si="52"/>
        <v>0</v>
      </c>
      <c r="S80" s="2"/>
      <c r="T80" s="7">
        <v>13745.26</v>
      </c>
      <c r="U80" s="2"/>
      <c r="V80" s="6">
        <f t="shared" si="53"/>
        <v>0</v>
      </c>
      <c r="W80" s="2"/>
      <c r="X80" s="7">
        <f t="shared" si="54"/>
        <v>1363.6800000000003</v>
      </c>
      <c r="Y80" s="2"/>
      <c r="Z80" s="6">
        <f t="shared" si="55"/>
        <v>9.9210927985356426E-2</v>
      </c>
    </row>
    <row r="81" spans="1:26" s="29" customFormat="1" outlineLevel="1" collapsed="1" x14ac:dyDescent="0.3">
      <c r="A81" s="28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SUM(OSRRefD22_18x_0)</f>
        <v>0</v>
      </c>
      <c r="E81" s="1"/>
      <c r="F81" s="5">
        <f t="shared" ref="F81:F85" si="56">IF(D$12=0,0,D81/D$12)</f>
        <v>0</v>
      </c>
      <c r="G81" s="1"/>
      <c r="H81" s="1">
        <f>SUM(OSRRefH22_18x_0)</f>
        <v>0</v>
      </c>
      <c r="I81" s="1"/>
      <c r="J81" s="5">
        <f t="shared" ref="J81:J85" si="57">IF(H$12=0,0,H81/H$12)</f>
        <v>0</v>
      </c>
      <c r="K81" s="1"/>
      <c r="L81" s="1">
        <f t="shared" ref="L81:L85" si="58">+D81-H81</f>
        <v>0</v>
      </c>
      <c r="M81" s="1"/>
      <c r="N81" s="5">
        <f t="shared" ref="N81:N85" si="59">IF(H81=0,0,L81/H81)</f>
        <v>0</v>
      </c>
      <c r="O81" s="14"/>
      <c r="P81" s="1">
        <f>SUM(OSRRefP22_18x_0)</f>
        <v>1764</v>
      </c>
      <c r="Q81" s="1"/>
      <c r="R81" s="5">
        <f t="shared" ref="R81:R85" si="60">IF(P$12=0,0,P81/P$12)</f>
        <v>0</v>
      </c>
      <c r="S81" s="1"/>
      <c r="T81" s="1">
        <f>SUM(OSRRefT22_18x_0)</f>
        <v>1676.5</v>
      </c>
      <c r="U81" s="1"/>
      <c r="V81" s="5">
        <f t="shared" ref="V81:V85" si="61">IF(T$12=0,0,T81/T$12)</f>
        <v>0</v>
      </c>
      <c r="W81" s="1"/>
      <c r="X81" s="1">
        <f t="shared" ref="X81:X85" si="62">+P81-T81</f>
        <v>87.5</v>
      </c>
      <c r="Y81" s="1"/>
      <c r="Z81" s="5">
        <f t="shared" ref="Z81:Z85" si="63">IF(T81=0,0,X81/T81)</f>
        <v>5.2192066805845511E-2</v>
      </c>
    </row>
    <row r="82" spans="1:26" s="24" customFormat="1" hidden="1" outlineLevel="2" x14ac:dyDescent="0.3">
      <c r="A82" s="27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6"/>
        <v>0</v>
      </c>
      <c r="G82" s="2"/>
      <c r="H82" s="7"/>
      <c r="I82" s="2"/>
      <c r="J82" s="6">
        <f t="shared" si="57"/>
        <v>0</v>
      </c>
      <c r="K82" s="2"/>
      <c r="L82" s="7">
        <f t="shared" si="58"/>
        <v>0</v>
      </c>
      <c r="M82" s="2"/>
      <c r="N82" s="6">
        <f t="shared" si="59"/>
        <v>0</v>
      </c>
      <c r="O82" s="11"/>
      <c r="P82" s="7">
        <v>1764</v>
      </c>
      <c r="Q82" s="2"/>
      <c r="R82" s="6">
        <f t="shared" si="60"/>
        <v>0</v>
      </c>
      <c r="S82" s="2"/>
      <c r="T82" s="7">
        <v>1676.5</v>
      </c>
      <c r="U82" s="2"/>
      <c r="V82" s="6">
        <f t="shared" si="61"/>
        <v>0</v>
      </c>
      <c r="W82" s="2"/>
      <c r="X82" s="7">
        <f t="shared" si="62"/>
        <v>87.5</v>
      </c>
      <c r="Y82" s="2"/>
      <c r="Z82" s="6">
        <f t="shared" si="63"/>
        <v>5.2192066805845511E-2</v>
      </c>
    </row>
    <row r="83" spans="1:26" s="29" customFormat="1" outlineLevel="1" collapsed="1" x14ac:dyDescent="0.3">
      <c r="A83" s="28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SUM(OSRRefD22_19x_0)</f>
        <v>0</v>
      </c>
      <c r="E83" s="1"/>
      <c r="F83" s="5">
        <f t="shared" si="56"/>
        <v>0</v>
      </c>
      <c r="G83" s="1"/>
      <c r="H83" s="1">
        <f>SUM(OSRRefH22_19x_0)</f>
        <v>21.2</v>
      </c>
      <c r="I83" s="1"/>
      <c r="J83" s="5">
        <f t="shared" si="57"/>
        <v>0</v>
      </c>
      <c r="K83" s="1"/>
      <c r="L83" s="1">
        <f t="shared" si="58"/>
        <v>-21.2</v>
      </c>
      <c r="M83" s="1"/>
      <c r="N83" s="5">
        <f t="shared" si="59"/>
        <v>-1</v>
      </c>
      <c r="O83" s="14"/>
      <c r="P83" s="1">
        <f>SUM(OSRRefP22_19x_0)</f>
        <v>30.4</v>
      </c>
      <c r="Q83" s="1"/>
      <c r="R83" s="5">
        <f t="shared" si="60"/>
        <v>0</v>
      </c>
      <c r="S83" s="1"/>
      <c r="T83" s="1">
        <f>SUM(OSRRefT22_19x_0)</f>
        <v>787.81999999999994</v>
      </c>
      <c r="U83" s="1"/>
      <c r="V83" s="5">
        <f t="shared" si="61"/>
        <v>0</v>
      </c>
      <c r="W83" s="1"/>
      <c r="X83" s="1">
        <f t="shared" si="62"/>
        <v>-757.42</v>
      </c>
      <c r="Y83" s="1"/>
      <c r="Z83" s="5">
        <f t="shared" si="63"/>
        <v>-0.9614125053946333</v>
      </c>
    </row>
    <row r="84" spans="1:26" s="24" customFormat="1" hidden="1" outlineLevel="2" x14ac:dyDescent="0.3">
      <c r="A84" s="27"/>
      <c r="B84" s="11" t="str">
        <f>CONCATENATE("          ", "6292", " - ", "TRAVEL/CONFERENCE")</f>
        <v xml:space="preserve">          6292 - TRAVEL/CONFERENCE</v>
      </c>
      <c r="C84" s="11"/>
      <c r="D84" s="7">
        <v>0</v>
      </c>
      <c r="E84" s="2"/>
      <c r="F84" s="6">
        <f t="shared" si="56"/>
        <v>0</v>
      </c>
      <c r="G84" s="2"/>
      <c r="H84" s="7"/>
      <c r="I84" s="2"/>
      <c r="J84" s="6">
        <f t="shared" si="57"/>
        <v>0</v>
      </c>
      <c r="K84" s="2"/>
      <c r="L84" s="7">
        <f t="shared" si="58"/>
        <v>0</v>
      </c>
      <c r="M84" s="2"/>
      <c r="N84" s="6">
        <f t="shared" si="59"/>
        <v>0</v>
      </c>
      <c r="O84" s="11"/>
      <c r="P84" s="7">
        <v>0</v>
      </c>
      <c r="Q84" s="2"/>
      <c r="R84" s="6">
        <f t="shared" si="60"/>
        <v>0</v>
      </c>
      <c r="S84" s="2"/>
      <c r="T84" s="7">
        <v>720</v>
      </c>
      <c r="U84" s="2"/>
      <c r="V84" s="6">
        <f t="shared" si="61"/>
        <v>0</v>
      </c>
      <c r="W84" s="2"/>
      <c r="X84" s="7">
        <f t="shared" si="62"/>
        <v>-720</v>
      </c>
      <c r="Y84" s="2"/>
      <c r="Z84" s="6">
        <f t="shared" si="63"/>
        <v>-1</v>
      </c>
    </row>
    <row r="85" spans="1:26" s="24" customFormat="1" hidden="1" outlineLevel="2" x14ac:dyDescent="0.3">
      <c r="A85" s="27"/>
      <c r="B85" s="11" t="str">
        <f>CONCATENATE("          ", "6294", " - ", "TRAVEL OPERATIONAL")</f>
        <v xml:space="preserve">          6294 - TRAVEL OPERATIONAL</v>
      </c>
      <c r="C85" s="11"/>
      <c r="D85" s="7"/>
      <c r="E85" s="2"/>
      <c r="F85" s="6">
        <f t="shared" si="56"/>
        <v>0</v>
      </c>
      <c r="G85" s="2"/>
      <c r="H85" s="7">
        <v>21.2</v>
      </c>
      <c r="I85" s="2"/>
      <c r="J85" s="6">
        <f t="shared" si="57"/>
        <v>0</v>
      </c>
      <c r="K85" s="2"/>
      <c r="L85" s="7">
        <f t="shared" si="58"/>
        <v>-21.2</v>
      </c>
      <c r="M85" s="2"/>
      <c r="N85" s="6">
        <f t="shared" si="59"/>
        <v>-1</v>
      </c>
      <c r="O85" s="11"/>
      <c r="P85" s="7">
        <v>30.4</v>
      </c>
      <c r="Q85" s="2"/>
      <c r="R85" s="6">
        <f t="shared" si="60"/>
        <v>0</v>
      </c>
      <c r="S85" s="2"/>
      <c r="T85" s="7">
        <v>67.819999999999993</v>
      </c>
      <c r="U85" s="2"/>
      <c r="V85" s="6">
        <f t="shared" si="61"/>
        <v>0</v>
      </c>
      <c r="W85" s="2"/>
      <c r="X85" s="7">
        <f t="shared" si="62"/>
        <v>-37.419999999999995</v>
      </c>
      <c r="Y85" s="2"/>
      <c r="Z85" s="6">
        <f t="shared" si="63"/>
        <v>-0.5517546446475966</v>
      </c>
    </row>
    <row r="86" spans="1:26" s="52" customFormat="1" x14ac:dyDescent="0.3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6" t="s">
        <v>292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5" t="s">
        <v>276</v>
      </c>
      <c r="C89" s="25"/>
      <c r="D89" s="21">
        <f>+D16-D18+D87</f>
        <v>-346287.75</v>
      </c>
      <c r="E89" s="13"/>
      <c r="F89" s="22">
        <f>IF(D$12=0,0,D89/D$12)</f>
        <v>0</v>
      </c>
      <c r="G89" s="13"/>
      <c r="H89" s="21">
        <f>+H16-H18+H87</f>
        <v>-247477.45</v>
      </c>
      <c r="I89" s="13"/>
      <c r="J89" s="22">
        <f>IF(H$12=0,0,H89/H$12)</f>
        <v>0</v>
      </c>
      <c r="K89" s="15"/>
      <c r="L89" s="21">
        <f>+D89-H89</f>
        <v>-98810.299999999988</v>
      </c>
      <c r="M89" s="15"/>
      <c r="N89" s="22">
        <f>IF(H89=0,0,L89/H89)</f>
        <v>0.39926991327896738</v>
      </c>
      <c r="O89" s="26"/>
      <c r="P89" s="21">
        <f>+P16-P18+P87</f>
        <v>-1715577.0499999998</v>
      </c>
      <c r="Q89" s="13"/>
      <c r="R89" s="22">
        <f>IF(P$12=0,0,P89/P$12)</f>
        <v>0</v>
      </c>
      <c r="S89" s="13"/>
      <c r="T89" s="21">
        <f>+T16-T18+T87</f>
        <v>-1199028.6599999999</v>
      </c>
      <c r="U89" s="13"/>
      <c r="V89" s="22">
        <f>IF(T$12=0,0,T89/T$12)</f>
        <v>0</v>
      </c>
      <c r="W89" s="15"/>
      <c r="X89" s="21">
        <f>+P89-T89</f>
        <v>-516548.3899999999</v>
      </c>
      <c r="Y89" s="15"/>
      <c r="Z89" s="22">
        <f>IF(T89=0,0,X89/T89)</f>
        <v>0.43080570734647822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1"/>
      <c r="B91" s="10" t="s">
        <v>127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5" t="s">
        <v>125</v>
      </c>
      <c r="C93" s="25"/>
      <c r="D93" s="36">
        <f>+D89-D91</f>
        <v>-346287.75</v>
      </c>
      <c r="E93" s="13"/>
      <c r="F93" s="31">
        <f>IF(D$12=0,0,D93/D$12)</f>
        <v>0</v>
      </c>
      <c r="G93" s="13"/>
      <c r="H93" s="36">
        <f>+H89-H91</f>
        <v>-247477.45</v>
      </c>
      <c r="I93" s="13"/>
      <c r="J93" s="31">
        <f>IF(H$12=0,0,H93/H$12)</f>
        <v>0</v>
      </c>
      <c r="K93" s="15"/>
      <c r="L93" s="36">
        <f>D93-H93</f>
        <v>-98810.299999999988</v>
      </c>
      <c r="M93" s="15"/>
      <c r="N93" s="31">
        <f>IF(H93=0,0,L93/H93)</f>
        <v>0.39926991327896738</v>
      </c>
      <c r="O93" s="26"/>
      <c r="P93" s="36">
        <f>+P89-P91</f>
        <v>-1715577.0499999998</v>
      </c>
      <c r="Q93" s="13"/>
      <c r="R93" s="31">
        <f>IF(P$12=0,0,P93/P$12)</f>
        <v>0</v>
      </c>
      <c r="S93" s="13"/>
      <c r="T93" s="36">
        <f>+T89-T91</f>
        <v>-1199028.6599999999</v>
      </c>
      <c r="U93" s="13"/>
      <c r="V93" s="31">
        <f>IF(T$12=0,0,T93/T$12)</f>
        <v>0</v>
      </c>
      <c r="W93" s="15"/>
      <c r="X93" s="36">
        <f>P93-T93</f>
        <v>-516548.3899999999</v>
      </c>
      <c r="Y93" s="15"/>
      <c r="Z93" s="31">
        <f>IF(T93=0,0,X93/T93)</f>
        <v>0.43080570734647822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5" t="s">
        <v>293</v>
      </c>
      <c r="C96" s="25"/>
      <c r="D96" s="35">
        <f>SUM(D93:D95)</f>
        <v>-346287.75</v>
      </c>
      <c r="E96" s="13"/>
      <c r="F96" s="32">
        <f>IF(D$12=0,0,D96/D$12)</f>
        <v>0</v>
      </c>
      <c r="G96" s="13"/>
      <c r="H96" s="35">
        <f>SUM(H93:H95)</f>
        <v>-247477.45</v>
      </c>
      <c r="I96" s="13"/>
      <c r="J96" s="32">
        <f>IF(H$12=0,0,H96/H$12)</f>
        <v>0</v>
      </c>
      <c r="K96" s="15"/>
      <c r="L96" s="35">
        <f>+D96-H96</f>
        <v>-98810.299999999988</v>
      </c>
      <c r="M96" s="15"/>
      <c r="N96" s="32">
        <f>IF(H96=0,0,L96/H96)</f>
        <v>0.39926991327896738</v>
      </c>
      <c r="O96" s="26"/>
      <c r="P96" s="35">
        <f>SUM(P93:P95)</f>
        <v>-1715577.0499999998</v>
      </c>
      <c r="Q96" s="13"/>
      <c r="R96" s="32">
        <f>IF(P$12=0,0,P96/P$12)</f>
        <v>0</v>
      </c>
      <c r="S96" s="13"/>
      <c r="T96" s="35">
        <f>SUM(T93:T95)</f>
        <v>-1199028.6599999999</v>
      </c>
      <c r="U96" s="13"/>
      <c r="V96" s="32">
        <f>IF(T$12=0,0,T96/T$12)</f>
        <v>0</v>
      </c>
      <c r="W96" s="15"/>
      <c r="X96" s="35">
        <f>+P96-T96</f>
        <v>-516548.3899999999</v>
      </c>
      <c r="Y96" s="15"/>
      <c r="Z96" s="32">
        <f>IF(T96=0,0,X96/T96)</f>
        <v>0.43080570734647822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4">
        <v>44604.02842033565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3" t="s">
        <v>56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A100" s="9"/>
      <c r="B100" s="5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3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","200", " - ", "Corporate Expense")</f>
        <v>Department 200 - Corporate Expense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41500.79</v>
      </c>
      <c r="E18" s="20"/>
      <c r="F18" s="30">
        <f t="shared" ref="F18:F26" si="0">IF(D$12=0,0,D18/D$12)</f>
        <v>0</v>
      </c>
      <c r="G18" s="20"/>
      <c r="H18" s="20">
        <f>SUM(OSRRefH22x_0)</f>
        <v>43572.520000000004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-2071.7300000000032</v>
      </c>
      <c r="M18" s="4"/>
      <c r="N18" s="30">
        <f t="shared" ref="N18:N26" si="3">IF(H18=0,0,L18/H18)</f>
        <v>-4.754671063321568E-2</v>
      </c>
      <c r="O18" s="10"/>
      <c r="P18" s="20">
        <f>SUM(OSRRefP22x_0)</f>
        <v>241298.09</v>
      </c>
      <c r="Q18" s="20"/>
      <c r="R18" s="30">
        <f t="shared" ref="R18:R26" si="4">IF(P$12=0,0,P18/P$12)</f>
        <v>0</v>
      </c>
      <c r="S18" s="20"/>
      <c r="T18" s="20">
        <f>SUM(OSRRefT22x_0)</f>
        <v>-139627.69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380925.78</v>
      </c>
      <c r="Y18" s="4"/>
      <c r="Z18" s="30">
        <f t="shared" ref="Z18:Z26" si="7">IF(T18=0,0,X18/T18)</f>
        <v>-2.7281535632366332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26491.86</v>
      </c>
      <c r="E19" s="1"/>
      <c r="F19" s="5">
        <f t="shared" si="0"/>
        <v>0</v>
      </c>
      <c r="G19" s="1"/>
      <c r="H19" s="1">
        <f>SUM(OSRRefH22_0x_0)</f>
        <v>28145.68</v>
      </c>
      <c r="I19" s="1"/>
      <c r="J19" s="5">
        <f t="shared" si="1"/>
        <v>0</v>
      </c>
      <c r="K19" s="1"/>
      <c r="L19" s="1">
        <f t="shared" si="2"/>
        <v>-1653.8199999999997</v>
      </c>
      <c r="M19" s="1"/>
      <c r="N19" s="5">
        <f t="shared" si="3"/>
        <v>-5.8759283840361991E-2</v>
      </c>
      <c r="O19" s="14"/>
      <c r="P19" s="1">
        <f>SUM(OSRRefP22_0x_0)</f>
        <v>192208.22</v>
      </c>
      <c r="Q19" s="1"/>
      <c r="R19" s="5">
        <f t="shared" si="4"/>
        <v>0</v>
      </c>
      <c r="S19" s="1"/>
      <c r="T19" s="1">
        <f>SUM(OSRRefT22_0x_0)</f>
        <v>-189192.6</v>
      </c>
      <c r="U19" s="1"/>
      <c r="V19" s="5">
        <f t="shared" si="5"/>
        <v>0</v>
      </c>
      <c r="W19" s="1"/>
      <c r="X19" s="1">
        <f t="shared" si="6"/>
        <v>381400.82</v>
      </c>
      <c r="Y19" s="1"/>
      <c r="Z19" s="5">
        <f t="shared" si="7"/>
        <v>-2.0159394183493435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26491.86</v>
      </c>
      <c r="E20" s="2"/>
      <c r="F20" s="6">
        <f t="shared" si="0"/>
        <v>0</v>
      </c>
      <c r="G20" s="2"/>
      <c r="H20" s="7">
        <v>28145.68</v>
      </c>
      <c r="I20" s="2"/>
      <c r="J20" s="6">
        <f t="shared" si="1"/>
        <v>0</v>
      </c>
      <c r="K20" s="2"/>
      <c r="L20" s="7">
        <f t="shared" si="2"/>
        <v>-1653.8199999999997</v>
      </c>
      <c r="M20" s="2"/>
      <c r="N20" s="6">
        <f t="shared" si="3"/>
        <v>-5.8759283840361991E-2</v>
      </c>
      <c r="O20" s="11"/>
      <c r="P20" s="7">
        <v>192208.22</v>
      </c>
      <c r="Q20" s="2"/>
      <c r="R20" s="6">
        <f t="shared" si="4"/>
        <v>0</v>
      </c>
      <c r="S20" s="2"/>
      <c r="T20" s="7">
        <v>-189192.6</v>
      </c>
      <c r="U20" s="2"/>
      <c r="V20" s="6">
        <f t="shared" si="5"/>
        <v>0</v>
      </c>
      <c r="W20" s="2"/>
      <c r="X20" s="7">
        <f t="shared" si="6"/>
        <v>381400.82</v>
      </c>
      <c r="Y20" s="2"/>
      <c r="Z20" s="6">
        <f t="shared" si="7"/>
        <v>-2.0159394183493435</v>
      </c>
    </row>
    <row r="21" spans="1:26" s="29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3680.15</v>
      </c>
      <c r="E21" s="1"/>
      <c r="F21" s="5">
        <f t="shared" si="0"/>
        <v>0</v>
      </c>
      <c r="G21" s="1"/>
      <c r="H21" s="1">
        <f>SUM(OSRRefH22_1x_0)</f>
        <v>2078.09</v>
      </c>
      <c r="I21" s="1"/>
      <c r="J21" s="5">
        <f t="shared" si="1"/>
        <v>0</v>
      </c>
      <c r="K21" s="1"/>
      <c r="L21" s="1">
        <f t="shared" si="2"/>
        <v>1602.06</v>
      </c>
      <c r="M21" s="1"/>
      <c r="N21" s="5">
        <f t="shared" si="3"/>
        <v>0.77092907429418356</v>
      </c>
      <c r="O21" s="14"/>
      <c r="P21" s="1">
        <f>SUM(OSRRefP22_1x_0)</f>
        <v>9279.08</v>
      </c>
      <c r="Q21" s="1"/>
      <c r="R21" s="5">
        <f t="shared" si="4"/>
        <v>0</v>
      </c>
      <c r="S21" s="1"/>
      <c r="T21" s="1">
        <f>SUM(OSRRefT22_1x_0)</f>
        <v>4982.67</v>
      </c>
      <c r="U21" s="1"/>
      <c r="V21" s="5">
        <f t="shared" si="5"/>
        <v>0</v>
      </c>
      <c r="W21" s="1"/>
      <c r="X21" s="1">
        <f t="shared" si="6"/>
        <v>4296.41</v>
      </c>
      <c r="Y21" s="1"/>
      <c r="Z21" s="5">
        <f t="shared" si="7"/>
        <v>0.86227063000359239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3680.15</v>
      </c>
      <c r="E22" s="2"/>
      <c r="F22" s="6">
        <f t="shared" si="0"/>
        <v>0</v>
      </c>
      <c r="G22" s="2"/>
      <c r="H22" s="7">
        <v>2078.09</v>
      </c>
      <c r="I22" s="2"/>
      <c r="J22" s="6">
        <f t="shared" si="1"/>
        <v>0</v>
      </c>
      <c r="K22" s="2"/>
      <c r="L22" s="7">
        <f t="shared" si="2"/>
        <v>1602.06</v>
      </c>
      <c r="M22" s="2"/>
      <c r="N22" s="6">
        <f t="shared" si="3"/>
        <v>0.77092907429418356</v>
      </c>
      <c r="O22" s="11"/>
      <c r="P22" s="7">
        <v>9279.08</v>
      </c>
      <c r="Q22" s="2"/>
      <c r="R22" s="6">
        <f t="shared" si="4"/>
        <v>0</v>
      </c>
      <c r="S22" s="2"/>
      <c r="T22" s="7">
        <v>4982.67</v>
      </c>
      <c r="U22" s="2"/>
      <c r="V22" s="6">
        <f t="shared" si="5"/>
        <v>0</v>
      </c>
      <c r="W22" s="2"/>
      <c r="X22" s="7">
        <f t="shared" si="6"/>
        <v>4296.41</v>
      </c>
      <c r="Y22" s="2"/>
      <c r="Z22" s="6">
        <f t="shared" si="7"/>
        <v>0.86227063000359239</v>
      </c>
    </row>
    <row r="23" spans="1:26" s="29" customFormat="1" outlineLevel="1" collapsed="1" x14ac:dyDescent="0.3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991.03</v>
      </c>
      <c r="E23" s="1"/>
      <c r="F23" s="5">
        <f t="shared" si="0"/>
        <v>0</v>
      </c>
      <c r="G23" s="1"/>
      <c r="H23" s="1">
        <f>SUM(OSRRefH22_2x_0)</f>
        <v>1763</v>
      </c>
      <c r="I23" s="1"/>
      <c r="J23" s="5">
        <f t="shared" si="1"/>
        <v>0</v>
      </c>
      <c r="K23" s="1"/>
      <c r="L23" s="1">
        <f t="shared" si="2"/>
        <v>-771.97</v>
      </c>
      <c r="M23" s="1"/>
      <c r="N23" s="5">
        <f t="shared" si="3"/>
        <v>-0.43787294384571757</v>
      </c>
      <c r="O23" s="14"/>
      <c r="P23" s="1">
        <f>SUM(OSRRefP22_2x_0)</f>
        <v>8647.5400000000009</v>
      </c>
      <c r="Q23" s="1"/>
      <c r="R23" s="5">
        <f t="shared" si="4"/>
        <v>0</v>
      </c>
      <c r="S23" s="1"/>
      <c r="T23" s="1">
        <f>SUM(OSRRefT22_2x_0)</f>
        <v>9599.99</v>
      </c>
      <c r="U23" s="1"/>
      <c r="V23" s="5">
        <f t="shared" si="5"/>
        <v>0</v>
      </c>
      <c r="W23" s="1"/>
      <c r="X23" s="1">
        <f t="shared" si="6"/>
        <v>-952.44999999999891</v>
      </c>
      <c r="Y23" s="1"/>
      <c r="Z23" s="5">
        <f t="shared" si="7"/>
        <v>-9.9213645014213439E-2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7">
        <v>991.03</v>
      </c>
      <c r="E24" s="2"/>
      <c r="F24" s="6">
        <f t="shared" si="0"/>
        <v>0</v>
      </c>
      <c r="G24" s="2"/>
      <c r="H24" s="7">
        <v>1763</v>
      </c>
      <c r="I24" s="2"/>
      <c r="J24" s="6">
        <f t="shared" si="1"/>
        <v>0</v>
      </c>
      <c r="K24" s="2"/>
      <c r="L24" s="7">
        <f t="shared" si="2"/>
        <v>-771.97</v>
      </c>
      <c r="M24" s="2"/>
      <c r="N24" s="6">
        <f t="shared" si="3"/>
        <v>-0.43787294384571757</v>
      </c>
      <c r="O24" s="11"/>
      <c r="P24" s="7">
        <v>8647.5400000000009</v>
      </c>
      <c r="Q24" s="2"/>
      <c r="R24" s="6">
        <f t="shared" si="4"/>
        <v>0</v>
      </c>
      <c r="S24" s="2"/>
      <c r="T24" s="7">
        <v>9599.99</v>
      </c>
      <c r="U24" s="2"/>
      <c r="V24" s="6">
        <f t="shared" si="5"/>
        <v>0</v>
      </c>
      <c r="W24" s="2"/>
      <c r="X24" s="7">
        <f t="shared" si="6"/>
        <v>-952.44999999999891</v>
      </c>
      <c r="Y24" s="2"/>
      <c r="Z24" s="6">
        <f t="shared" si="7"/>
        <v>-9.9213645014213439E-2</v>
      </c>
    </row>
    <row r="25" spans="1:26" s="29" customFormat="1" outlineLevel="1" collapsed="1" x14ac:dyDescent="0.3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11585.75</v>
      </c>
      <c r="I25" s="1"/>
      <c r="J25" s="5">
        <f t="shared" si="1"/>
        <v>0</v>
      </c>
      <c r="K25" s="1"/>
      <c r="L25" s="1">
        <f t="shared" si="2"/>
        <v>-1248</v>
      </c>
      <c r="M25" s="1"/>
      <c r="N25" s="5">
        <f t="shared" si="3"/>
        <v>-0.10771853354336146</v>
      </c>
      <c r="O25" s="14"/>
      <c r="P25" s="1">
        <f>SUM(OSRRefP22_3x_0)</f>
        <v>31163.25</v>
      </c>
      <c r="Q25" s="1"/>
      <c r="R25" s="5">
        <f t="shared" si="4"/>
        <v>0</v>
      </c>
      <c r="S25" s="1"/>
      <c r="T25" s="1">
        <f>SUM(OSRRefT22_3x_0)</f>
        <v>34982.25</v>
      </c>
      <c r="U25" s="1"/>
      <c r="V25" s="5">
        <f t="shared" si="5"/>
        <v>0</v>
      </c>
      <c r="W25" s="1"/>
      <c r="X25" s="1">
        <f t="shared" si="6"/>
        <v>-3819</v>
      </c>
      <c r="Y25" s="1"/>
      <c r="Z25" s="5">
        <f t="shared" si="7"/>
        <v>-0.10916965032266364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10337.75</v>
      </c>
      <c r="E26" s="2"/>
      <c r="F26" s="6">
        <f t="shared" si="0"/>
        <v>0</v>
      </c>
      <c r="G26" s="2"/>
      <c r="H26" s="7">
        <v>11585.75</v>
      </c>
      <c r="I26" s="2"/>
      <c r="J26" s="6">
        <f t="shared" si="1"/>
        <v>0</v>
      </c>
      <c r="K26" s="2"/>
      <c r="L26" s="7">
        <f t="shared" si="2"/>
        <v>-1248</v>
      </c>
      <c r="M26" s="2"/>
      <c r="N26" s="6">
        <f t="shared" si="3"/>
        <v>-0.10771853354336146</v>
      </c>
      <c r="O26" s="11"/>
      <c r="P26" s="7">
        <v>31163.25</v>
      </c>
      <c r="Q26" s="2"/>
      <c r="R26" s="6">
        <f t="shared" si="4"/>
        <v>0</v>
      </c>
      <c r="S26" s="2"/>
      <c r="T26" s="7">
        <v>34982.25</v>
      </c>
      <c r="U26" s="2"/>
      <c r="V26" s="6">
        <f t="shared" si="5"/>
        <v>0</v>
      </c>
      <c r="W26" s="2"/>
      <c r="X26" s="7">
        <f t="shared" si="6"/>
        <v>-3819</v>
      </c>
      <c r="Y26" s="2"/>
      <c r="Z26" s="6">
        <f t="shared" si="7"/>
        <v>-0.10916965032266364</v>
      </c>
    </row>
    <row r="27" spans="1:26" s="52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276</v>
      </c>
      <c r="C30" s="25"/>
      <c r="D30" s="21">
        <f>+D16-D18+D28</f>
        <v>-41500.79</v>
      </c>
      <c r="E30" s="13"/>
      <c r="F30" s="22">
        <f>IF(D$12=0,0,D30/D$12)</f>
        <v>0</v>
      </c>
      <c r="G30" s="13"/>
      <c r="H30" s="21">
        <f>+H16-H18+H28</f>
        <v>-43572.520000000004</v>
      </c>
      <c r="I30" s="13"/>
      <c r="J30" s="22">
        <f>IF(H$12=0,0,H30/H$12)</f>
        <v>0</v>
      </c>
      <c r="K30" s="15"/>
      <c r="L30" s="21">
        <f>+D30-H30</f>
        <v>2071.7300000000032</v>
      </c>
      <c r="M30" s="15"/>
      <c r="N30" s="22">
        <f>IF(H30=0,0,L30/H30)</f>
        <v>-4.754671063321568E-2</v>
      </c>
      <c r="O30" s="26"/>
      <c r="P30" s="21">
        <f>+P16-P18+P28</f>
        <v>-241298.09</v>
      </c>
      <c r="Q30" s="13"/>
      <c r="R30" s="22">
        <f>IF(P$12=0,0,P30/P$12)</f>
        <v>0</v>
      </c>
      <c r="S30" s="13"/>
      <c r="T30" s="21">
        <f>+T16-T18+T28</f>
        <v>139627.69</v>
      </c>
      <c r="U30" s="13"/>
      <c r="V30" s="22">
        <f>IF(T$12=0,0,T30/T$12)</f>
        <v>0</v>
      </c>
      <c r="W30" s="15"/>
      <c r="X30" s="21">
        <f>+P30-T30</f>
        <v>-380925.78</v>
      </c>
      <c r="Y30" s="15"/>
      <c r="Z30" s="22">
        <f>IF(T30=0,0,X30/T30)</f>
        <v>-2.7281535632366332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5" t="s">
        <v>125</v>
      </c>
      <c r="C34" s="25"/>
      <c r="D34" s="36">
        <f>+D30-D32</f>
        <v>-41500.79</v>
      </c>
      <c r="E34" s="13"/>
      <c r="F34" s="31">
        <f>IF(D$12=0,0,D34/D$12)</f>
        <v>0</v>
      </c>
      <c r="G34" s="13"/>
      <c r="H34" s="36">
        <f>+H30-H32</f>
        <v>-43572.520000000004</v>
      </c>
      <c r="I34" s="13"/>
      <c r="J34" s="31">
        <f>IF(H$12=0,0,H34/H$12)</f>
        <v>0</v>
      </c>
      <c r="K34" s="15"/>
      <c r="L34" s="36">
        <f>D34-H34</f>
        <v>2071.7300000000032</v>
      </c>
      <c r="M34" s="15"/>
      <c r="N34" s="31">
        <f>IF(H34=0,0,L34/H34)</f>
        <v>-4.754671063321568E-2</v>
      </c>
      <c r="O34" s="26"/>
      <c r="P34" s="36">
        <f>+P30-P32</f>
        <v>-241298.09</v>
      </c>
      <c r="Q34" s="13"/>
      <c r="R34" s="31">
        <f>IF(P$12=0,0,P34/P$12)</f>
        <v>0</v>
      </c>
      <c r="S34" s="13"/>
      <c r="T34" s="36">
        <f>+T30-T32</f>
        <v>139627.69</v>
      </c>
      <c r="U34" s="13"/>
      <c r="V34" s="31">
        <f>IF(T$12=0,0,T34/T$12)</f>
        <v>0</v>
      </c>
      <c r="W34" s="15"/>
      <c r="X34" s="36">
        <f>P34-T34</f>
        <v>-380925.78</v>
      </c>
      <c r="Y34" s="15"/>
      <c r="Z34" s="31">
        <f>IF(T34=0,0,X34/T34)</f>
        <v>-2.7281535632366332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293</v>
      </c>
      <c r="C37" s="25"/>
      <c r="D37" s="35">
        <f>SUM(D34:D36)</f>
        <v>-41500.79</v>
      </c>
      <c r="E37" s="13"/>
      <c r="F37" s="32">
        <f>IF(D$12=0,0,D37/D$12)</f>
        <v>0</v>
      </c>
      <c r="G37" s="13"/>
      <c r="H37" s="35">
        <f>SUM(H34:H36)</f>
        <v>-43572.520000000004</v>
      </c>
      <c r="I37" s="13"/>
      <c r="J37" s="32">
        <f>IF(H$12=0,0,H37/H$12)</f>
        <v>0</v>
      </c>
      <c r="K37" s="15"/>
      <c r="L37" s="35">
        <f>+D37-H37</f>
        <v>2071.7300000000032</v>
      </c>
      <c r="M37" s="15"/>
      <c r="N37" s="32">
        <f>IF(H37=0,0,L37/H37)</f>
        <v>-4.754671063321568E-2</v>
      </c>
      <c r="O37" s="26"/>
      <c r="P37" s="35">
        <f>SUM(P34:P36)</f>
        <v>-241298.09</v>
      </c>
      <c r="Q37" s="13"/>
      <c r="R37" s="32">
        <f>IF(P$12=0,0,P37/P$12)</f>
        <v>0</v>
      </c>
      <c r="S37" s="13"/>
      <c r="T37" s="35">
        <f>SUM(T34:T36)</f>
        <v>139627.69</v>
      </c>
      <c r="U37" s="13"/>
      <c r="V37" s="32">
        <f>IF(T$12=0,0,T37/T$12)</f>
        <v>0</v>
      </c>
      <c r="W37" s="15"/>
      <c r="X37" s="35">
        <f>+P37-T37</f>
        <v>-380925.78</v>
      </c>
      <c r="Y37" s="15"/>
      <c r="Z37" s="32">
        <f>IF(T37=0,0,X37/T37)</f>
        <v>-2.7281535632366332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4">
        <v>44604.028475694446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3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","201", " - ", "General Manager")</f>
        <v>Department 201 - General Manager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117409.44</v>
      </c>
      <c r="E18" s="20"/>
      <c r="F18" s="30">
        <f t="shared" ref="F18:F27" si="0">IF(D$12=0,0,D18/D$12)</f>
        <v>0</v>
      </c>
      <c r="G18" s="20"/>
      <c r="H18" s="20">
        <f>SUM(OSRRefH22x_0)</f>
        <v>36488.950000000004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80920.489999999991</v>
      </c>
      <c r="M18" s="4"/>
      <c r="N18" s="30">
        <f t="shared" ref="N18:N27" si="3">IF(H18=0,0,L18/H18)</f>
        <v>2.217671103169589</v>
      </c>
      <c r="O18" s="10"/>
      <c r="P18" s="20">
        <f>SUM(OSRRefP22x_0)</f>
        <v>356424.89</v>
      </c>
      <c r="Q18" s="20"/>
      <c r="R18" s="30">
        <f t="shared" ref="R18:R27" si="4">IF(P$12=0,0,P18/P$12)</f>
        <v>0</v>
      </c>
      <c r="S18" s="20"/>
      <c r="T18" s="20">
        <f>SUM(OSRRefT22x_0)</f>
        <v>268227.72000000003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88197.169999999984</v>
      </c>
      <c r="Y18" s="4"/>
      <c r="Z18" s="30">
        <f t="shared" ref="Z18:Z27" si="7">IF(T18=0,0,X18/T18)</f>
        <v>0.32881452371887576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42800.299999999996</v>
      </c>
      <c r="E19" s="1"/>
      <c r="F19" s="5">
        <f t="shared" si="0"/>
        <v>0</v>
      </c>
      <c r="G19" s="1"/>
      <c r="H19" s="1">
        <f>SUM(OSRRefH22_0x_0)</f>
        <v>10738.44</v>
      </c>
      <c r="I19" s="1"/>
      <c r="J19" s="5">
        <f t="shared" si="1"/>
        <v>0</v>
      </c>
      <c r="K19" s="1"/>
      <c r="L19" s="1">
        <f t="shared" si="2"/>
        <v>32061.859999999993</v>
      </c>
      <c r="M19" s="1"/>
      <c r="N19" s="5">
        <f t="shared" si="3"/>
        <v>2.985709283657588</v>
      </c>
      <c r="O19" s="14"/>
      <c r="P19" s="1">
        <f>SUM(OSRRefP22_0x_0)</f>
        <v>106084.49</v>
      </c>
      <c r="Q19" s="1"/>
      <c r="R19" s="5">
        <f t="shared" si="4"/>
        <v>0</v>
      </c>
      <c r="S19" s="1"/>
      <c r="T19" s="1">
        <f>SUM(OSRRefT22_0x_0)</f>
        <v>76202.000000000015</v>
      </c>
      <c r="U19" s="1"/>
      <c r="V19" s="5">
        <f t="shared" si="5"/>
        <v>0</v>
      </c>
      <c r="W19" s="1"/>
      <c r="X19" s="1">
        <f t="shared" si="6"/>
        <v>29882.489999999991</v>
      </c>
      <c r="Y19" s="1"/>
      <c r="Z19" s="5">
        <f t="shared" si="7"/>
        <v>0.39214836880921738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5053.3500000000004</v>
      </c>
      <c r="E20" s="2"/>
      <c r="F20" s="6">
        <f t="shared" si="0"/>
        <v>0</v>
      </c>
      <c r="G20" s="2"/>
      <c r="H20" s="7">
        <v>1363.33</v>
      </c>
      <c r="I20" s="2"/>
      <c r="J20" s="6">
        <f t="shared" si="1"/>
        <v>0</v>
      </c>
      <c r="K20" s="2"/>
      <c r="L20" s="7">
        <f t="shared" si="2"/>
        <v>3690.0200000000004</v>
      </c>
      <c r="M20" s="2"/>
      <c r="N20" s="6">
        <f t="shared" si="3"/>
        <v>2.7066227545788624</v>
      </c>
      <c r="O20" s="11"/>
      <c r="P20" s="7">
        <v>12047.2</v>
      </c>
      <c r="Q20" s="2"/>
      <c r="R20" s="6">
        <f t="shared" si="4"/>
        <v>0</v>
      </c>
      <c r="S20" s="2"/>
      <c r="T20" s="7">
        <v>8288.11</v>
      </c>
      <c r="U20" s="2"/>
      <c r="V20" s="6">
        <f t="shared" si="5"/>
        <v>0</v>
      </c>
      <c r="W20" s="2"/>
      <c r="X20" s="7">
        <f t="shared" si="6"/>
        <v>3759.09</v>
      </c>
      <c r="Y20" s="2"/>
      <c r="Z20" s="6">
        <f t="shared" si="7"/>
        <v>0.45355213673563693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852.13</v>
      </c>
      <c r="E21" s="2"/>
      <c r="F21" s="6">
        <f t="shared" si="0"/>
        <v>0</v>
      </c>
      <c r="G21" s="2"/>
      <c r="H21" s="7">
        <v>-68.12</v>
      </c>
      <c r="I21" s="2"/>
      <c r="J21" s="6">
        <f t="shared" si="1"/>
        <v>0</v>
      </c>
      <c r="K21" s="2"/>
      <c r="L21" s="7">
        <f t="shared" si="2"/>
        <v>920.25</v>
      </c>
      <c r="M21" s="2"/>
      <c r="N21" s="6">
        <f t="shared" si="3"/>
        <v>-13.509248385202582</v>
      </c>
      <c r="O21" s="11"/>
      <c r="P21" s="7">
        <v>2449.86</v>
      </c>
      <c r="Q21" s="2"/>
      <c r="R21" s="6">
        <f t="shared" si="4"/>
        <v>0</v>
      </c>
      <c r="S21" s="2"/>
      <c r="T21" s="7">
        <v>568.59</v>
      </c>
      <c r="U21" s="2"/>
      <c r="V21" s="6">
        <f t="shared" si="5"/>
        <v>0</v>
      </c>
      <c r="W21" s="2"/>
      <c r="X21" s="7">
        <f t="shared" si="6"/>
        <v>1881.27</v>
      </c>
      <c r="Y21" s="2"/>
      <c r="Z21" s="6">
        <f t="shared" si="7"/>
        <v>3.3086582599060832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3588.59</v>
      </c>
      <c r="E22" s="2"/>
      <c r="F22" s="6">
        <f t="shared" si="0"/>
        <v>0</v>
      </c>
      <c r="G22" s="2"/>
      <c r="H22" s="7">
        <v>3917.15</v>
      </c>
      <c r="I22" s="2"/>
      <c r="J22" s="6">
        <f t="shared" si="1"/>
        <v>0</v>
      </c>
      <c r="K22" s="2"/>
      <c r="L22" s="7">
        <f t="shared" si="2"/>
        <v>-328.55999999999995</v>
      </c>
      <c r="M22" s="2"/>
      <c r="N22" s="6">
        <f t="shared" si="3"/>
        <v>-8.3877308757642655E-2</v>
      </c>
      <c r="O22" s="11"/>
      <c r="P22" s="7">
        <v>27244.93</v>
      </c>
      <c r="Q22" s="2"/>
      <c r="R22" s="6">
        <f t="shared" si="4"/>
        <v>0</v>
      </c>
      <c r="S22" s="2"/>
      <c r="T22" s="7">
        <v>28131.07</v>
      </c>
      <c r="U22" s="2"/>
      <c r="V22" s="6">
        <f t="shared" si="5"/>
        <v>0</v>
      </c>
      <c r="W22" s="2"/>
      <c r="X22" s="7">
        <f t="shared" si="6"/>
        <v>-886.13999999999942</v>
      </c>
      <c r="Y22" s="2"/>
      <c r="Z22" s="6">
        <f t="shared" si="7"/>
        <v>-3.1500401513344475E-2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171.75</v>
      </c>
      <c r="E23" s="2"/>
      <c r="F23" s="6">
        <f t="shared" si="0"/>
        <v>0</v>
      </c>
      <c r="G23" s="2"/>
      <c r="H23" s="7">
        <v>98.77</v>
      </c>
      <c r="I23" s="2"/>
      <c r="J23" s="6">
        <f t="shared" si="1"/>
        <v>0</v>
      </c>
      <c r="K23" s="2"/>
      <c r="L23" s="7">
        <f t="shared" si="2"/>
        <v>72.98</v>
      </c>
      <c r="M23" s="2"/>
      <c r="N23" s="6">
        <f t="shared" si="3"/>
        <v>0.73888832641490343</v>
      </c>
      <c r="O23" s="11"/>
      <c r="P23" s="7">
        <v>493.77</v>
      </c>
      <c r="Q23" s="2"/>
      <c r="R23" s="6">
        <f t="shared" si="4"/>
        <v>0</v>
      </c>
      <c r="S23" s="2"/>
      <c r="T23" s="7">
        <v>447.99</v>
      </c>
      <c r="U23" s="2"/>
      <c r="V23" s="6">
        <f t="shared" si="5"/>
        <v>0</v>
      </c>
      <c r="W23" s="2"/>
      <c r="X23" s="7">
        <f t="shared" si="6"/>
        <v>45.779999999999973</v>
      </c>
      <c r="Y23" s="2"/>
      <c r="Z23" s="6">
        <f t="shared" si="7"/>
        <v>0.10218978102189774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2407.25</v>
      </c>
      <c r="E24" s="2"/>
      <c r="F24" s="6">
        <f t="shared" si="0"/>
        <v>0</v>
      </c>
      <c r="G24" s="2"/>
      <c r="H24" s="7">
        <v>2911.53</v>
      </c>
      <c r="I24" s="2"/>
      <c r="J24" s="6">
        <f t="shared" si="1"/>
        <v>0</v>
      </c>
      <c r="K24" s="2"/>
      <c r="L24" s="7">
        <f t="shared" si="2"/>
        <v>-504.2800000000002</v>
      </c>
      <c r="M24" s="2"/>
      <c r="N24" s="6">
        <f t="shared" si="3"/>
        <v>-0.17320103175993384</v>
      </c>
      <c r="O24" s="11"/>
      <c r="P24" s="7">
        <v>15586.25</v>
      </c>
      <c r="Q24" s="2"/>
      <c r="R24" s="6">
        <f t="shared" si="4"/>
        <v>0</v>
      </c>
      <c r="S24" s="2"/>
      <c r="T24" s="7">
        <v>19567.560000000001</v>
      </c>
      <c r="U24" s="2"/>
      <c r="V24" s="6">
        <f t="shared" si="5"/>
        <v>0</v>
      </c>
      <c r="W24" s="2"/>
      <c r="X24" s="7">
        <f t="shared" si="6"/>
        <v>-3981.3100000000013</v>
      </c>
      <c r="Y24" s="2"/>
      <c r="Z24" s="6">
        <f t="shared" si="7"/>
        <v>-0.20346481625711133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8885.32</v>
      </c>
      <c r="E25" s="2"/>
      <c r="F25" s="6">
        <f t="shared" si="0"/>
        <v>0</v>
      </c>
      <c r="G25" s="2"/>
      <c r="H25" s="7">
        <v>1658.98</v>
      </c>
      <c r="I25" s="2"/>
      <c r="J25" s="6">
        <f t="shared" si="1"/>
        <v>0</v>
      </c>
      <c r="K25" s="2"/>
      <c r="L25" s="7">
        <f t="shared" si="2"/>
        <v>7226.34</v>
      </c>
      <c r="M25" s="2"/>
      <c r="N25" s="6">
        <f t="shared" si="3"/>
        <v>4.3558933802698041</v>
      </c>
      <c r="O25" s="11"/>
      <c r="P25" s="7">
        <v>19700.29</v>
      </c>
      <c r="Q25" s="2"/>
      <c r="R25" s="6">
        <f t="shared" si="4"/>
        <v>0</v>
      </c>
      <c r="S25" s="2"/>
      <c r="T25" s="7">
        <v>12442.35</v>
      </c>
      <c r="U25" s="2"/>
      <c r="V25" s="6">
        <f t="shared" si="5"/>
        <v>0</v>
      </c>
      <c r="W25" s="2"/>
      <c r="X25" s="7">
        <f t="shared" si="6"/>
        <v>7257.9400000000005</v>
      </c>
      <c r="Y25" s="2"/>
      <c r="Z25" s="6">
        <f t="shared" si="7"/>
        <v>0.58332549719305438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21687.32</v>
      </c>
      <c r="E26" s="2"/>
      <c r="F26" s="6">
        <f t="shared" si="0"/>
        <v>0</v>
      </c>
      <c r="G26" s="2"/>
      <c r="H26" s="7">
        <v>856.8</v>
      </c>
      <c r="I26" s="2"/>
      <c r="J26" s="6">
        <f t="shared" si="1"/>
        <v>0</v>
      </c>
      <c r="K26" s="2"/>
      <c r="L26" s="7">
        <f t="shared" si="2"/>
        <v>20830.52</v>
      </c>
      <c r="M26" s="2"/>
      <c r="N26" s="6">
        <f t="shared" si="3"/>
        <v>24.311998132586371</v>
      </c>
      <c r="O26" s="11"/>
      <c r="P26" s="7">
        <v>27274.560000000001</v>
      </c>
      <c r="Q26" s="2"/>
      <c r="R26" s="6">
        <f t="shared" si="4"/>
        <v>0</v>
      </c>
      <c r="S26" s="2"/>
      <c r="T26" s="7">
        <v>6426</v>
      </c>
      <c r="U26" s="2"/>
      <c r="V26" s="6">
        <f t="shared" si="5"/>
        <v>0</v>
      </c>
      <c r="W26" s="2"/>
      <c r="X26" s="7">
        <f t="shared" si="6"/>
        <v>20848.560000000001</v>
      </c>
      <c r="Y26" s="2"/>
      <c r="Z26" s="6">
        <f t="shared" si="7"/>
        <v>3.2444070961718023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154.59</v>
      </c>
      <c r="E27" s="2"/>
      <c r="F27" s="6">
        <f t="shared" si="0"/>
        <v>0</v>
      </c>
      <c r="G27" s="2"/>
      <c r="H27" s="7"/>
      <c r="I27" s="2"/>
      <c r="J27" s="6">
        <f t="shared" si="1"/>
        <v>0</v>
      </c>
      <c r="K27" s="2"/>
      <c r="L27" s="7">
        <f t="shared" si="2"/>
        <v>154.59</v>
      </c>
      <c r="M27" s="2"/>
      <c r="N27" s="6">
        <f t="shared" si="3"/>
        <v>0</v>
      </c>
      <c r="O27" s="11"/>
      <c r="P27" s="7">
        <v>1287.6300000000001</v>
      </c>
      <c r="Q27" s="2"/>
      <c r="R27" s="6">
        <f t="shared" si="4"/>
        <v>0</v>
      </c>
      <c r="S27" s="2"/>
      <c r="T27" s="7">
        <v>330.33</v>
      </c>
      <c r="U27" s="2"/>
      <c r="V27" s="6">
        <f t="shared" si="5"/>
        <v>0</v>
      </c>
      <c r="W27" s="2"/>
      <c r="X27" s="7">
        <f t="shared" si="6"/>
        <v>957.30000000000018</v>
      </c>
      <c r="Y27" s="2"/>
      <c r="Z27" s="6">
        <f t="shared" si="7"/>
        <v>2.8980110798292622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70363.490000000005</v>
      </c>
      <c r="E28" s="1"/>
      <c r="F28" s="5">
        <f t="shared" ref="F28:F31" si="8">IF(D$12=0,0,D28/D$12)</f>
        <v>0</v>
      </c>
      <c r="G28" s="1"/>
      <c r="H28" s="1">
        <f>SUM(OSRRefH22_1x_0)</f>
        <v>22286.959999999999</v>
      </c>
      <c r="I28" s="1"/>
      <c r="J28" s="5">
        <f t="shared" ref="J28:J31" si="9">IF(H$12=0,0,H28/H$12)</f>
        <v>0</v>
      </c>
      <c r="K28" s="1"/>
      <c r="L28" s="1">
        <f t="shared" ref="L28:L31" si="10">+D28-H28</f>
        <v>48076.530000000006</v>
      </c>
      <c r="M28" s="1"/>
      <c r="N28" s="5">
        <f t="shared" ref="N28:N31" si="11">IF(H28=0,0,L28/H28)</f>
        <v>2.157159612616526</v>
      </c>
      <c r="O28" s="14"/>
      <c r="P28" s="1">
        <f>SUM(OSRRefP22_1x_0)</f>
        <v>148040.48000000001</v>
      </c>
      <c r="Q28" s="1"/>
      <c r="R28" s="5">
        <f t="shared" ref="R28:R31" si="12">IF(P$12=0,0,P28/P$12)</f>
        <v>0</v>
      </c>
      <c r="S28" s="1"/>
      <c r="T28" s="1">
        <f>SUM(OSRRefT22_1x_0)</f>
        <v>90986.709999999992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57053.770000000019</v>
      </c>
      <c r="Y28" s="1"/>
      <c r="Z28" s="5">
        <f t="shared" ref="Z28:Z31" si="15">IF(T28=0,0,X28/T28)</f>
        <v>0.62705608324556439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64507.39</v>
      </c>
      <c r="E29" s="2"/>
      <c r="F29" s="6">
        <f t="shared" si="8"/>
        <v>0</v>
      </c>
      <c r="G29" s="2"/>
      <c r="H29" s="7">
        <v>17635.28</v>
      </c>
      <c r="I29" s="2"/>
      <c r="J29" s="6">
        <f t="shared" si="9"/>
        <v>0</v>
      </c>
      <c r="K29" s="2"/>
      <c r="L29" s="7">
        <f t="shared" si="10"/>
        <v>46872.11</v>
      </c>
      <c r="M29" s="2"/>
      <c r="N29" s="6">
        <f t="shared" si="11"/>
        <v>2.6578602664658573</v>
      </c>
      <c r="O29" s="11"/>
      <c r="P29" s="7">
        <v>114381.7</v>
      </c>
      <c r="Q29" s="2"/>
      <c r="R29" s="6">
        <f t="shared" si="12"/>
        <v>0</v>
      </c>
      <c r="S29" s="2"/>
      <c r="T29" s="7">
        <v>104759.53</v>
      </c>
      <c r="U29" s="2"/>
      <c r="V29" s="6">
        <f t="shared" si="13"/>
        <v>0</v>
      </c>
      <c r="W29" s="2"/>
      <c r="X29" s="7">
        <f t="shared" si="14"/>
        <v>9622.1699999999983</v>
      </c>
      <c r="Y29" s="2"/>
      <c r="Z29" s="6">
        <f t="shared" si="15"/>
        <v>9.1850068437687712E-2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5856.1</v>
      </c>
      <c r="E30" s="2"/>
      <c r="F30" s="6">
        <f t="shared" si="8"/>
        <v>0</v>
      </c>
      <c r="G30" s="2"/>
      <c r="H30" s="7">
        <v>4651.68</v>
      </c>
      <c r="I30" s="2"/>
      <c r="J30" s="6">
        <f t="shared" si="9"/>
        <v>0</v>
      </c>
      <c r="K30" s="2"/>
      <c r="L30" s="7">
        <f t="shared" si="10"/>
        <v>1204.42</v>
      </c>
      <c r="M30" s="2"/>
      <c r="N30" s="6">
        <f t="shared" si="11"/>
        <v>0.25892150792831836</v>
      </c>
      <c r="O30" s="11"/>
      <c r="P30" s="7">
        <v>33599.56</v>
      </c>
      <c r="Q30" s="2"/>
      <c r="R30" s="6">
        <f t="shared" si="12"/>
        <v>0</v>
      </c>
      <c r="S30" s="2"/>
      <c r="T30" s="7">
        <v>31184.47</v>
      </c>
      <c r="U30" s="2"/>
      <c r="V30" s="6">
        <f t="shared" si="13"/>
        <v>0</v>
      </c>
      <c r="W30" s="2"/>
      <c r="X30" s="7">
        <f t="shared" si="14"/>
        <v>2415.0899999999965</v>
      </c>
      <c r="Y30" s="2"/>
      <c r="Z30" s="6">
        <f t="shared" si="15"/>
        <v>7.7445279653622343E-2</v>
      </c>
    </row>
    <row r="31" spans="1:26" s="24" customFormat="1" hidden="1" outlineLevel="2" x14ac:dyDescent="0.3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59.22</v>
      </c>
      <c r="Q31" s="2"/>
      <c r="R31" s="6">
        <f t="shared" si="12"/>
        <v>0</v>
      </c>
      <c r="S31" s="2"/>
      <c r="T31" s="7">
        <v>-44957.29</v>
      </c>
      <c r="U31" s="2"/>
      <c r="V31" s="6">
        <f t="shared" si="13"/>
        <v>0</v>
      </c>
      <c r="W31" s="2"/>
      <c r="X31" s="7">
        <f t="shared" si="14"/>
        <v>45016.51</v>
      </c>
      <c r="Y31" s="2"/>
      <c r="Z31" s="6">
        <f t="shared" si="15"/>
        <v>-1.0013172502168168</v>
      </c>
    </row>
    <row r="32" spans="1:26" s="29" customFormat="1" outlineLevel="1" collapsed="1" x14ac:dyDescent="0.3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0</v>
      </c>
      <c r="M32" s="1"/>
      <c r="N32" s="5">
        <f t="shared" ref="N32:N49" si="19">IF(H32=0,0,L32/H32)</f>
        <v>0</v>
      </c>
      <c r="O32" s="14"/>
      <c r="P32" s="1">
        <f>SUM(OSRRefP22_2x_0)</f>
        <v>1967.41</v>
      </c>
      <c r="Q32" s="1"/>
      <c r="R32" s="5">
        <f t="shared" ref="R32:R49" si="20">IF(P$12=0,0,P32/P$12)</f>
        <v>0</v>
      </c>
      <c r="S32" s="1"/>
      <c r="T32" s="1">
        <f>SUM(OSRRefT22_2x_0)</f>
        <v>66.8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1900.6100000000001</v>
      </c>
      <c r="Y32" s="1"/>
      <c r="Z32" s="5">
        <f t="shared" ref="Z32:Z49" si="23">IF(T32=0,0,X32/T32)</f>
        <v>28.452245508982038</v>
      </c>
    </row>
    <row r="33" spans="1:26" s="24" customFormat="1" hidden="1" outlineLevel="2" x14ac:dyDescent="0.3">
      <c r="A33" s="27"/>
      <c r="B33" s="11" t="str">
        <f>CONCATENATE("          ", "6362", " - ", "ADVERTISING EXPENSE")</f>
        <v xml:space="preserve">          6362 - ADVERTISING EXPENSE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1967.41</v>
      </c>
      <c r="Q33" s="2"/>
      <c r="R33" s="6">
        <f t="shared" si="20"/>
        <v>0</v>
      </c>
      <c r="S33" s="2"/>
      <c r="T33" s="7">
        <v>66.8</v>
      </c>
      <c r="U33" s="2"/>
      <c r="V33" s="6">
        <f t="shared" si="21"/>
        <v>0</v>
      </c>
      <c r="W33" s="2"/>
      <c r="X33" s="7">
        <f t="shared" si="22"/>
        <v>1900.6100000000001</v>
      </c>
      <c r="Y33" s="2"/>
      <c r="Z33" s="6">
        <f t="shared" si="23"/>
        <v>28.452245508982038</v>
      </c>
    </row>
    <row r="34" spans="1:26" s="29" customFormat="1" outlineLevel="1" collapsed="1" x14ac:dyDescent="0.3">
      <c r="A34" s="28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314.87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2204.09</v>
      </c>
      <c r="Q34" s="1"/>
      <c r="R34" s="5">
        <f t="shared" si="20"/>
        <v>0</v>
      </c>
      <c r="S34" s="1"/>
      <c r="T34" s="1">
        <f>SUM(OSRRefT22_3x_0)</f>
        <v>2204.09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3">
      <c r="A35" s="27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314.87</v>
      </c>
      <c r="E35" s="2"/>
      <c r="F35" s="6">
        <f t="shared" si="16"/>
        <v>0</v>
      </c>
      <c r="G35" s="2"/>
      <c r="H35" s="7">
        <v>314.87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2204.09</v>
      </c>
      <c r="Q35" s="2"/>
      <c r="R35" s="6">
        <f t="shared" si="20"/>
        <v>0</v>
      </c>
      <c r="S35" s="2"/>
      <c r="T35" s="7">
        <v>2204.09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9" customFormat="1" outlineLevel="1" collapsed="1" x14ac:dyDescent="0.3">
      <c r="A36" s="28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SUM(OSRRefP22_4x_0)</f>
        <v>25300</v>
      </c>
      <c r="Q36" s="1"/>
      <c r="R36" s="5">
        <f t="shared" si="20"/>
        <v>0</v>
      </c>
      <c r="S36" s="1"/>
      <c r="T36" s="1">
        <f>SUM(OSRRefT22_4x_0)</f>
        <v>25000</v>
      </c>
      <c r="U36" s="1"/>
      <c r="V36" s="5">
        <f t="shared" si="21"/>
        <v>0</v>
      </c>
      <c r="W36" s="1"/>
      <c r="X36" s="1">
        <f t="shared" si="22"/>
        <v>300</v>
      </c>
      <c r="Y36" s="1"/>
      <c r="Z36" s="5">
        <f t="shared" si="23"/>
        <v>1.2E-2</v>
      </c>
    </row>
    <row r="37" spans="1:26" s="24" customFormat="1" hidden="1" outlineLevel="2" x14ac:dyDescent="0.3">
      <c r="A37" s="27"/>
      <c r="B37" s="11" t="str">
        <f>CONCATENATE("          ", "6399", " - ", "DONATION-ON CAMPUS")</f>
        <v xml:space="preserve">          6399 - DONATION-ON CAMPUS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25300</v>
      </c>
      <c r="Q37" s="2"/>
      <c r="R37" s="6">
        <f t="shared" si="20"/>
        <v>0</v>
      </c>
      <c r="S37" s="2"/>
      <c r="T37" s="7">
        <v>25000</v>
      </c>
      <c r="U37" s="2"/>
      <c r="V37" s="6">
        <f t="shared" si="21"/>
        <v>0</v>
      </c>
      <c r="W37" s="2"/>
      <c r="X37" s="7">
        <f t="shared" si="22"/>
        <v>300</v>
      </c>
      <c r="Y37" s="2"/>
      <c r="Z37" s="6">
        <f t="shared" si="23"/>
        <v>1.2E-2</v>
      </c>
    </row>
    <row r="38" spans="1:26" s="29" customFormat="1" outlineLevel="1" collapsed="1" x14ac:dyDescent="0.3">
      <c r="A38" s="28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SUM(OSRRefD22_5x_0)</f>
        <v>635.58000000000004</v>
      </c>
      <c r="E38" s="1"/>
      <c r="F38" s="5">
        <f t="shared" si="16"/>
        <v>0</v>
      </c>
      <c r="G38" s="1"/>
      <c r="H38" s="1">
        <f>SUM(OSRRefH22_5x_0)</f>
        <v>0</v>
      </c>
      <c r="I38" s="1"/>
      <c r="J38" s="5">
        <f t="shared" si="17"/>
        <v>0</v>
      </c>
      <c r="K38" s="1"/>
      <c r="L38" s="1">
        <f t="shared" si="18"/>
        <v>635.58000000000004</v>
      </c>
      <c r="M38" s="1"/>
      <c r="N38" s="5">
        <f t="shared" si="19"/>
        <v>0</v>
      </c>
      <c r="O38" s="14"/>
      <c r="P38" s="1">
        <f>SUM(OSRRefP22_5x_0)</f>
        <v>635.58000000000004</v>
      </c>
      <c r="Q38" s="1"/>
      <c r="R38" s="5">
        <f t="shared" si="20"/>
        <v>0</v>
      </c>
      <c r="S38" s="1"/>
      <c r="T38" s="1">
        <f>SUM(OSRRefT22_5x_0)</f>
        <v>0</v>
      </c>
      <c r="U38" s="1"/>
      <c r="V38" s="5">
        <f t="shared" si="21"/>
        <v>0</v>
      </c>
      <c r="W38" s="1"/>
      <c r="X38" s="1">
        <f t="shared" si="22"/>
        <v>635.58000000000004</v>
      </c>
      <c r="Y38" s="1"/>
      <c r="Z38" s="5">
        <f t="shared" si="23"/>
        <v>0</v>
      </c>
    </row>
    <row r="39" spans="1:26" s="24" customFormat="1" hidden="1" outlineLevel="2" x14ac:dyDescent="0.3">
      <c r="A39" s="27"/>
      <c r="B39" s="11" t="str">
        <f>CONCATENATE("          ", "6277", " - ", "EMPLOYEE APPRECIATION")</f>
        <v xml:space="preserve">          6277 - EMPLOYEE APPRECIATION</v>
      </c>
      <c r="C39" s="11"/>
      <c r="D39" s="7">
        <v>635.58000000000004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635.58000000000004</v>
      </c>
      <c r="M39" s="2"/>
      <c r="N39" s="6">
        <f t="shared" si="19"/>
        <v>0</v>
      </c>
      <c r="O39" s="11"/>
      <c r="P39" s="7">
        <v>635.58000000000004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635.58000000000004</v>
      </c>
      <c r="Y39" s="2"/>
      <c r="Z39" s="6">
        <f t="shared" si="23"/>
        <v>0</v>
      </c>
    </row>
    <row r="40" spans="1:26" s="29" customFormat="1" outlineLevel="1" collapsed="1" x14ac:dyDescent="0.3">
      <c r="A40" s="28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SUM(OSRRefD22_6x_0)</f>
        <v>117.71</v>
      </c>
      <c r="E40" s="1"/>
      <c r="F40" s="5">
        <f t="shared" si="16"/>
        <v>0</v>
      </c>
      <c r="G40" s="1"/>
      <c r="H40" s="1">
        <f>SUM(OSRRefH22_6x_0)</f>
        <v>117.71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4"/>
      <c r="P40" s="1">
        <f>SUM(OSRRefP22_6x_0)</f>
        <v>823.97</v>
      </c>
      <c r="Q40" s="1"/>
      <c r="R40" s="5">
        <f t="shared" si="20"/>
        <v>0</v>
      </c>
      <c r="S40" s="1"/>
      <c r="T40" s="1">
        <f>SUM(OSRRefT22_6x_0)</f>
        <v>823.97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3">
      <c r="A41" s="27"/>
      <c r="B41" s="11" t="str">
        <f>CONCATENATE("          ", "6351", " - ", "EQUIPMENT RENTAL")</f>
        <v xml:space="preserve">          6351 - EQUIPMENT RENTAL</v>
      </c>
      <c r="C41" s="11"/>
      <c r="D41" s="7">
        <v>117.71</v>
      </c>
      <c r="E41" s="2"/>
      <c r="F41" s="6">
        <f t="shared" si="16"/>
        <v>0</v>
      </c>
      <c r="G41" s="2"/>
      <c r="H41" s="7">
        <v>117.71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823.97</v>
      </c>
      <c r="Q41" s="2"/>
      <c r="R41" s="6">
        <f t="shared" si="20"/>
        <v>0</v>
      </c>
      <c r="S41" s="2"/>
      <c r="T41" s="7">
        <v>823.97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9" customFormat="1" outlineLevel="1" collapsed="1" x14ac:dyDescent="0.3">
      <c r="A42" s="28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SUM(OSRRefP22_7x_0)</f>
        <v>29.52</v>
      </c>
      <c r="Q42" s="1"/>
      <c r="R42" s="5">
        <f t="shared" si="20"/>
        <v>0</v>
      </c>
      <c r="S42" s="1"/>
      <c r="T42" s="1">
        <f>SUM(OSRRefT22_7x_0)</f>
        <v>65.06</v>
      </c>
      <c r="U42" s="1"/>
      <c r="V42" s="5">
        <f t="shared" si="21"/>
        <v>0</v>
      </c>
      <c r="W42" s="1"/>
      <c r="X42" s="1">
        <f t="shared" si="22"/>
        <v>-35.540000000000006</v>
      </c>
      <c r="Y42" s="1"/>
      <c r="Z42" s="5">
        <f t="shared" si="23"/>
        <v>-0.54626498616661556</v>
      </c>
    </row>
    <row r="43" spans="1:26" s="24" customFormat="1" hidden="1" outlineLevel="2" x14ac:dyDescent="0.3">
      <c r="A43" s="27"/>
      <c r="B43" s="11" t="str">
        <f>CONCATENATE("          ", "6307", " - ", "POSTAGE")</f>
        <v xml:space="preserve">          6307 - POSTAGE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29.52</v>
      </c>
      <c r="Q43" s="2"/>
      <c r="R43" s="6">
        <f t="shared" si="20"/>
        <v>0</v>
      </c>
      <c r="S43" s="2"/>
      <c r="T43" s="7">
        <v>65.06</v>
      </c>
      <c r="U43" s="2"/>
      <c r="V43" s="6">
        <f t="shared" si="21"/>
        <v>0</v>
      </c>
      <c r="W43" s="2"/>
      <c r="X43" s="7">
        <f t="shared" si="22"/>
        <v>-35.540000000000006</v>
      </c>
      <c r="Y43" s="2"/>
      <c r="Z43" s="6">
        <f t="shared" si="23"/>
        <v>-0.54626498616661556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SUM(OSRRefD22_8x_0)</f>
        <v>156.47999999999999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41.349999999999994</v>
      </c>
      <c r="M44" s="1"/>
      <c r="N44" s="5">
        <f t="shared" si="19"/>
        <v>0.35915921132632672</v>
      </c>
      <c r="O44" s="14"/>
      <c r="P44" s="1">
        <f>SUM(OSRRefP22_8x_0)</f>
        <v>1095.3599999999999</v>
      </c>
      <c r="Q44" s="1"/>
      <c r="R44" s="5">
        <f t="shared" si="20"/>
        <v>0</v>
      </c>
      <c r="S44" s="1"/>
      <c r="T44" s="1">
        <f>SUM(OSRRefT22_8x_0)</f>
        <v>805.91</v>
      </c>
      <c r="U44" s="1"/>
      <c r="V44" s="5">
        <f t="shared" si="21"/>
        <v>0</v>
      </c>
      <c r="W44" s="1"/>
      <c r="X44" s="1">
        <f t="shared" si="22"/>
        <v>289.44999999999993</v>
      </c>
      <c r="Y44" s="1"/>
      <c r="Z44" s="5">
        <f t="shared" si="23"/>
        <v>0.35915921132632667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156.47999999999999</v>
      </c>
      <c r="E45" s="2"/>
      <c r="F45" s="6">
        <f t="shared" si="16"/>
        <v>0</v>
      </c>
      <c r="G45" s="2"/>
      <c r="H45" s="7">
        <v>115.13</v>
      </c>
      <c r="I45" s="2"/>
      <c r="J45" s="6">
        <f t="shared" si="17"/>
        <v>0</v>
      </c>
      <c r="K45" s="2"/>
      <c r="L45" s="7">
        <f t="shared" si="18"/>
        <v>41.349999999999994</v>
      </c>
      <c r="M45" s="2"/>
      <c r="N45" s="6">
        <f t="shared" si="19"/>
        <v>0.35915921132632672</v>
      </c>
      <c r="O45" s="11"/>
      <c r="P45" s="7">
        <v>1095.3599999999999</v>
      </c>
      <c r="Q45" s="2"/>
      <c r="R45" s="6">
        <f t="shared" si="20"/>
        <v>0</v>
      </c>
      <c r="S45" s="2"/>
      <c r="T45" s="7">
        <v>805.91</v>
      </c>
      <c r="U45" s="2"/>
      <c r="V45" s="6">
        <f t="shared" si="21"/>
        <v>0</v>
      </c>
      <c r="W45" s="2"/>
      <c r="X45" s="7">
        <f t="shared" si="22"/>
        <v>289.44999999999993</v>
      </c>
      <c r="Y45" s="2"/>
      <c r="Z45" s="6">
        <f t="shared" si="23"/>
        <v>0.35915921132632667</v>
      </c>
    </row>
    <row r="46" spans="1:26" s="29" customFormat="1" outlineLevel="1" collapsed="1" x14ac:dyDescent="0.3">
      <c r="A46" s="28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4"/>
      <c r="P46" s="1">
        <f>SUM(OSRRefP22_9x_0)</f>
        <v>51875</v>
      </c>
      <c r="Q46" s="1"/>
      <c r="R46" s="5">
        <f t="shared" si="20"/>
        <v>0</v>
      </c>
      <c r="S46" s="1"/>
      <c r="T46" s="1">
        <f>SUM(OSRRefT22_9x_0)</f>
        <v>49654.239999999998</v>
      </c>
      <c r="U46" s="1"/>
      <c r="V46" s="5">
        <f t="shared" si="21"/>
        <v>0</v>
      </c>
      <c r="W46" s="1"/>
      <c r="X46" s="1">
        <f t="shared" si="22"/>
        <v>2220.760000000002</v>
      </c>
      <c r="Y46" s="1"/>
      <c r="Z46" s="5">
        <f t="shared" si="23"/>
        <v>4.4724478715211471E-2</v>
      </c>
    </row>
    <row r="47" spans="1:26" s="24" customFormat="1" hidden="1" outlineLevel="2" x14ac:dyDescent="0.3">
      <c r="A47" s="27"/>
      <c r="B47" s="11" t="str">
        <f>CONCATENATE("          ", "6331", " - ", "INDIRECT COSTS-AUXILIARY ORGAN")</f>
        <v xml:space="preserve">          6331 - INDIRECT COSTS-AUXILIARY ORGAN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48350</v>
      </c>
      <c r="Q47" s="2"/>
      <c r="R47" s="6">
        <f t="shared" si="20"/>
        <v>0</v>
      </c>
      <c r="S47" s="2"/>
      <c r="T47" s="7">
        <v>45850</v>
      </c>
      <c r="U47" s="2"/>
      <c r="V47" s="6">
        <f t="shared" si="21"/>
        <v>0</v>
      </c>
      <c r="W47" s="2"/>
      <c r="X47" s="7">
        <f t="shared" si="22"/>
        <v>2500</v>
      </c>
      <c r="Y47" s="2"/>
      <c r="Z47" s="6">
        <f t="shared" si="23"/>
        <v>5.4525627044711013E-2</v>
      </c>
    </row>
    <row r="48" spans="1:26" s="24" customFormat="1" hidden="1" outlineLevel="2" x14ac:dyDescent="0.3">
      <c r="A48" s="27"/>
      <c r="B48" s="11" t="str">
        <f>CONCATENATE("          ", "6334", " - ", "LEGAL COUNCIL EXPENSE")</f>
        <v xml:space="preserve">          6334 - LEGAL COUNCIL EXPENSE</v>
      </c>
      <c r="C48" s="11"/>
      <c r="D48" s="7"/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200</v>
      </c>
      <c r="Q48" s="2"/>
      <c r="R48" s="6">
        <f t="shared" si="20"/>
        <v>0</v>
      </c>
      <c r="S48" s="2"/>
      <c r="T48" s="7">
        <v>3804.24</v>
      </c>
      <c r="U48" s="2"/>
      <c r="V48" s="6">
        <f t="shared" si="21"/>
        <v>0</v>
      </c>
      <c r="W48" s="2"/>
      <c r="X48" s="7">
        <f t="shared" si="22"/>
        <v>-3604.24</v>
      </c>
      <c r="Y48" s="2"/>
      <c r="Z48" s="6">
        <f t="shared" si="23"/>
        <v>-0.94742708136184883</v>
      </c>
    </row>
    <row r="49" spans="1:26" s="24" customFormat="1" hidden="1" outlineLevel="2" x14ac:dyDescent="0.3">
      <c r="A49" s="27"/>
      <c r="B49" s="11" t="str">
        <f>CONCATENATE("          ", "6336", " - ", "PROFESSIONAL SERVICES")</f>
        <v xml:space="preserve">          6336 - PROFESSIONAL SERVICES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3325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3325</v>
      </c>
      <c r="Y49" s="2"/>
      <c r="Z49" s="6">
        <f t="shared" si="23"/>
        <v>0</v>
      </c>
    </row>
    <row r="50" spans="1:26" s="29" customFormat="1" outlineLevel="1" collapsed="1" x14ac:dyDescent="0.3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SUM(OSRRefD22_10x_0)</f>
        <v>2584.37</v>
      </c>
      <c r="E50" s="1"/>
      <c r="F50" s="5">
        <f t="shared" ref="F50:F52" si="24">IF(D$12=0,0,D50/D$12)</f>
        <v>0</v>
      </c>
      <c r="G50" s="1"/>
      <c r="H50" s="1">
        <f>SUM(OSRRefH22_10x_0)</f>
        <v>2591.4699999999998</v>
      </c>
      <c r="I50" s="1"/>
      <c r="J50" s="5">
        <f t="shared" ref="J50:J52" si="25">IF(H$12=0,0,H50/H$12)</f>
        <v>0</v>
      </c>
      <c r="K50" s="1"/>
      <c r="L50" s="1">
        <f t="shared" ref="L50:L52" si="26">+D50-H50</f>
        <v>-7.0999999999999091</v>
      </c>
      <c r="M50" s="1"/>
      <c r="N50" s="5">
        <f t="shared" ref="N50:N52" si="27">IF(H50=0,0,L50/H50)</f>
        <v>-2.7397577436744048E-3</v>
      </c>
      <c r="O50" s="14"/>
      <c r="P50" s="1">
        <f>SUM(OSRRefP22_10x_0)</f>
        <v>13299.69</v>
      </c>
      <c r="Q50" s="1"/>
      <c r="R50" s="5">
        <f t="shared" ref="R50:R52" si="28">IF(P$12=0,0,P50/P$12)</f>
        <v>0</v>
      </c>
      <c r="S50" s="1"/>
      <c r="T50" s="1">
        <f>SUM(OSRRefT22_10x_0)</f>
        <v>15852.47</v>
      </c>
      <c r="U50" s="1"/>
      <c r="V50" s="5">
        <f t="shared" ref="V50:V52" si="29">IF(T$12=0,0,T50/T$12)</f>
        <v>0</v>
      </c>
      <c r="W50" s="1"/>
      <c r="X50" s="1">
        <f t="shared" ref="X50:X52" si="30">+P50-T50</f>
        <v>-2552.7799999999988</v>
      </c>
      <c r="Y50" s="1"/>
      <c r="Z50" s="5">
        <f t="shared" ref="Z50:Z52" si="31">IF(T50=0,0,X50/T50)</f>
        <v>-0.16103358025594744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7">
        <v>2584.37</v>
      </c>
      <c r="E51" s="2"/>
      <c r="F51" s="6">
        <f t="shared" si="24"/>
        <v>0</v>
      </c>
      <c r="G51" s="2"/>
      <c r="H51" s="7">
        <v>2591.4699999999998</v>
      </c>
      <c r="I51" s="2"/>
      <c r="J51" s="6">
        <f t="shared" si="25"/>
        <v>0</v>
      </c>
      <c r="K51" s="2"/>
      <c r="L51" s="7">
        <f t="shared" si="26"/>
        <v>-7.0999999999999091</v>
      </c>
      <c r="M51" s="2"/>
      <c r="N51" s="6">
        <f t="shared" si="27"/>
        <v>-2.7397577436744048E-3</v>
      </c>
      <c r="O51" s="11"/>
      <c r="P51" s="7">
        <v>13201.7</v>
      </c>
      <c r="Q51" s="2"/>
      <c r="R51" s="6">
        <f t="shared" si="28"/>
        <v>0</v>
      </c>
      <c r="S51" s="2"/>
      <c r="T51" s="7">
        <v>15852.47</v>
      </c>
      <c r="U51" s="2"/>
      <c r="V51" s="6">
        <f t="shared" si="29"/>
        <v>0</v>
      </c>
      <c r="W51" s="2"/>
      <c r="X51" s="7">
        <f t="shared" si="30"/>
        <v>-2650.7699999999986</v>
      </c>
      <c r="Y51" s="2"/>
      <c r="Z51" s="6">
        <f t="shared" si="31"/>
        <v>-0.16721495136089196</v>
      </c>
    </row>
    <row r="52" spans="1:26" s="24" customFormat="1" hidden="1" outlineLevel="2" x14ac:dyDescent="0.3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97.99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97.99</v>
      </c>
      <c r="Y52" s="2"/>
      <c r="Z52" s="6">
        <f t="shared" si="31"/>
        <v>0</v>
      </c>
    </row>
    <row r="53" spans="1:26" s="29" customFormat="1" outlineLevel="1" collapsed="1" x14ac:dyDescent="0.3">
      <c r="A53" s="28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1">
        <f>SUM(OSRRefD22_11x_0)</f>
        <v>0</v>
      </c>
      <c r="E53" s="1"/>
      <c r="F53" s="5">
        <f t="shared" ref="F53:F57" si="32">IF(D$12=0,0,D53/D$12)</f>
        <v>0</v>
      </c>
      <c r="G53" s="1"/>
      <c r="H53" s="1">
        <f>SUM(OSRRefH22_11x_0)</f>
        <v>0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0</v>
      </c>
      <c r="M53" s="1"/>
      <c r="N53" s="5">
        <f t="shared" ref="N53:N57" si="35">IF(H53=0,0,L53/H53)</f>
        <v>0</v>
      </c>
      <c r="O53" s="14"/>
      <c r="P53" s="1">
        <f>SUM(OSRRefP22_11x_0)</f>
        <v>1000</v>
      </c>
      <c r="Q53" s="1"/>
      <c r="R53" s="5">
        <f t="shared" ref="R53:R57" si="36">IF(P$12=0,0,P53/P$12)</f>
        <v>0</v>
      </c>
      <c r="S53" s="1"/>
      <c r="T53" s="1">
        <f>SUM(OSRRefT22_11x_0)</f>
        <v>1725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-725</v>
      </c>
      <c r="Y53" s="1"/>
      <c r="Z53" s="5">
        <f t="shared" ref="Z53:Z57" si="39">IF(T53=0,0,X53/T53)</f>
        <v>-0.42028985507246375</v>
      </c>
    </row>
    <row r="54" spans="1:26" s="24" customFormat="1" hidden="1" outlineLevel="2" x14ac:dyDescent="0.3">
      <c r="A54" s="27"/>
      <c r="B54" s="11" t="str">
        <f>CONCATENATE("          ", "6258", " - ", "MEMBERSHIP DUES")</f>
        <v xml:space="preserve">          6258 - MEMBERSHIP DUES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>
        <v>1000</v>
      </c>
      <c r="Q54" s="2"/>
      <c r="R54" s="6">
        <f t="shared" si="36"/>
        <v>0</v>
      </c>
      <c r="S54" s="2"/>
      <c r="T54" s="7">
        <v>1725</v>
      </c>
      <c r="U54" s="2"/>
      <c r="V54" s="6">
        <f t="shared" si="37"/>
        <v>0</v>
      </c>
      <c r="W54" s="2"/>
      <c r="X54" s="7">
        <f t="shared" si="38"/>
        <v>-725</v>
      </c>
      <c r="Y54" s="2"/>
      <c r="Z54" s="6">
        <f t="shared" si="39"/>
        <v>-0.42028985507246375</v>
      </c>
    </row>
    <row r="55" spans="1:26" s="29" customFormat="1" outlineLevel="1" collapsed="1" x14ac:dyDescent="0.3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SUM(OSRRefD22_12x_0)</f>
        <v>0</v>
      </c>
      <c r="E55" s="1"/>
      <c r="F55" s="5">
        <f t="shared" si="32"/>
        <v>0</v>
      </c>
      <c r="G55" s="1"/>
      <c r="H55" s="1">
        <f>SUM(OSRRefH22_12x_0)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4"/>
      <c r="P55" s="1">
        <f>SUM(OSRRefP22_12x_0)</f>
        <v>369.46</v>
      </c>
      <c r="Q55" s="1"/>
      <c r="R55" s="5">
        <f t="shared" si="36"/>
        <v>0</v>
      </c>
      <c r="S55" s="1"/>
      <c r="T55" s="1">
        <f>SUM(OSRRefT22_12x_0)</f>
        <v>550.81999999999994</v>
      </c>
      <c r="U55" s="1"/>
      <c r="V55" s="5">
        <f t="shared" si="37"/>
        <v>0</v>
      </c>
      <c r="W55" s="1"/>
      <c r="X55" s="1">
        <f t="shared" si="38"/>
        <v>-181.35999999999996</v>
      </c>
      <c r="Y55" s="1"/>
      <c r="Z55" s="5">
        <f t="shared" si="39"/>
        <v>-0.32925456591990121</v>
      </c>
    </row>
    <row r="56" spans="1:26" s="24" customFormat="1" hidden="1" outlineLevel="2" x14ac:dyDescent="0.3">
      <c r="A56" s="27"/>
      <c r="B56" s="11" t="str">
        <f>CONCATENATE("          ", "6235", " - ", "COVID-19 EXPENSES")</f>
        <v xml:space="preserve">          6235 - COVID-19 EXPENSES</v>
      </c>
      <c r="C56" s="11"/>
      <c r="D56" s="7"/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/>
      <c r="Q56" s="2"/>
      <c r="R56" s="6">
        <f t="shared" si="36"/>
        <v>0</v>
      </c>
      <c r="S56" s="2"/>
      <c r="T56" s="7">
        <v>106.94</v>
      </c>
      <c r="U56" s="2"/>
      <c r="V56" s="6">
        <f t="shared" si="37"/>
        <v>0</v>
      </c>
      <c r="W56" s="2"/>
      <c r="X56" s="7">
        <f t="shared" si="38"/>
        <v>-106.94</v>
      </c>
      <c r="Y56" s="2"/>
      <c r="Z56" s="6">
        <f t="shared" si="39"/>
        <v>-1</v>
      </c>
    </row>
    <row r="57" spans="1:26" s="24" customFormat="1" hidden="1" outlineLevel="2" x14ac:dyDescent="0.3">
      <c r="A57" s="27"/>
      <c r="B57" s="11" t="str">
        <f>CONCATENATE("          ", "6241", " - ", "OFFICE EXPENSE")</f>
        <v xml:space="preserve">          6241 - OFFICE EXPENSE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369.46</v>
      </c>
      <c r="Q57" s="2"/>
      <c r="R57" s="6">
        <f t="shared" si="36"/>
        <v>0</v>
      </c>
      <c r="S57" s="2"/>
      <c r="T57" s="7">
        <v>443.88</v>
      </c>
      <c r="U57" s="2"/>
      <c r="V57" s="6">
        <f t="shared" si="37"/>
        <v>0</v>
      </c>
      <c r="W57" s="2"/>
      <c r="X57" s="7">
        <f t="shared" si="38"/>
        <v>-74.420000000000016</v>
      </c>
      <c r="Y57" s="2"/>
      <c r="Z57" s="6">
        <f t="shared" si="39"/>
        <v>-0.16765792556546819</v>
      </c>
    </row>
    <row r="58" spans="1:26" s="29" customFormat="1" outlineLevel="1" collapsed="1" x14ac:dyDescent="0.3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SUM(OSRRefD22_13x_0)</f>
        <v>436.64</v>
      </c>
      <c r="E58" s="1"/>
      <c r="F58" s="5">
        <f t="shared" ref="F58:F61" si="40">IF(D$12=0,0,D58/D$12)</f>
        <v>0</v>
      </c>
      <c r="G58" s="1"/>
      <c r="H58" s="1">
        <f>SUM(OSRRefH22_13x_0)</f>
        <v>324.37</v>
      </c>
      <c r="I58" s="1"/>
      <c r="J58" s="5">
        <f t="shared" ref="J58:J61" si="41">IF(H$12=0,0,H58/H$12)</f>
        <v>0</v>
      </c>
      <c r="K58" s="1"/>
      <c r="L58" s="1">
        <f t="shared" ref="L58:L61" si="42">+D58-H58</f>
        <v>112.26999999999998</v>
      </c>
      <c r="M58" s="1"/>
      <c r="N58" s="5">
        <f t="shared" ref="N58:N61" si="43">IF(H58=0,0,L58/H58)</f>
        <v>0.34611708851003475</v>
      </c>
      <c r="O58" s="14"/>
      <c r="P58" s="1">
        <f>SUM(OSRRefP22_13x_0)</f>
        <v>3104.84</v>
      </c>
      <c r="Q58" s="1"/>
      <c r="R58" s="5">
        <f t="shared" ref="R58:R61" si="44">IF(P$12=0,0,P58/P$12)</f>
        <v>0</v>
      </c>
      <c r="S58" s="1"/>
      <c r="T58" s="1">
        <f>SUM(OSRRefT22_13x_0)</f>
        <v>3164.15</v>
      </c>
      <c r="U58" s="1"/>
      <c r="V58" s="5">
        <f t="shared" ref="V58:V61" si="45">IF(T$12=0,0,T58/T$12)</f>
        <v>0</v>
      </c>
      <c r="W58" s="1"/>
      <c r="X58" s="1">
        <f t="shared" ref="X58:X61" si="46">+P58-T58</f>
        <v>-59.309999999999945</v>
      </c>
      <c r="Y58" s="1"/>
      <c r="Z58" s="5">
        <f t="shared" ref="Z58:Z61" si="47">IF(T58=0,0,X58/T58)</f>
        <v>-1.8744370526049631E-2</v>
      </c>
    </row>
    <row r="59" spans="1:26" s="24" customFormat="1" hidden="1" outlineLevel="2" x14ac:dyDescent="0.3">
      <c r="A59" s="27"/>
      <c r="B59" s="11" t="str">
        <f>CONCATENATE("          ", "6309", " - ", "TELEPHONE")</f>
        <v xml:space="preserve">          6309 - TELEPHONE</v>
      </c>
      <c r="C59" s="11"/>
      <c r="D59" s="7">
        <v>436.64</v>
      </c>
      <c r="E59" s="2"/>
      <c r="F59" s="6">
        <f t="shared" si="40"/>
        <v>0</v>
      </c>
      <c r="G59" s="2"/>
      <c r="H59" s="7">
        <v>324.37</v>
      </c>
      <c r="I59" s="2"/>
      <c r="J59" s="6">
        <f t="shared" si="41"/>
        <v>0</v>
      </c>
      <c r="K59" s="2"/>
      <c r="L59" s="7">
        <f t="shared" si="42"/>
        <v>112.26999999999998</v>
      </c>
      <c r="M59" s="2"/>
      <c r="N59" s="6">
        <f t="shared" si="43"/>
        <v>0.34611708851003475</v>
      </c>
      <c r="O59" s="11"/>
      <c r="P59" s="7">
        <v>3104.84</v>
      </c>
      <c r="Q59" s="2"/>
      <c r="R59" s="6">
        <f t="shared" si="44"/>
        <v>0</v>
      </c>
      <c r="S59" s="2"/>
      <c r="T59" s="7">
        <v>3164.15</v>
      </c>
      <c r="U59" s="2"/>
      <c r="V59" s="6">
        <f t="shared" si="45"/>
        <v>0</v>
      </c>
      <c r="W59" s="2"/>
      <c r="X59" s="7">
        <f t="shared" si="46"/>
        <v>-59.309999999999945</v>
      </c>
      <c r="Y59" s="2"/>
      <c r="Z59" s="6">
        <f t="shared" si="47"/>
        <v>-1.8744370526049631E-2</v>
      </c>
    </row>
    <row r="60" spans="1:26" s="29" customFormat="1" outlineLevel="1" collapsed="1" x14ac:dyDescent="0.3">
      <c r="A60" s="28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SUM(OSRRefD22_14x_0)</f>
        <v>0</v>
      </c>
      <c r="E60" s="1"/>
      <c r="F60" s="5">
        <f t="shared" si="40"/>
        <v>0</v>
      </c>
      <c r="G60" s="1"/>
      <c r="H60" s="1">
        <f>SUM(OSRRefH22_14x_0)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4"/>
      <c r="P60" s="1">
        <f>SUM(OSRRefP22_14x_0)</f>
        <v>595</v>
      </c>
      <c r="Q60" s="1"/>
      <c r="R60" s="5">
        <f t="shared" si="44"/>
        <v>0</v>
      </c>
      <c r="S60" s="1"/>
      <c r="T60" s="1">
        <f>SUM(OSRRefT22_14x_0)</f>
        <v>1126.5</v>
      </c>
      <c r="U60" s="1"/>
      <c r="V60" s="5">
        <f t="shared" si="45"/>
        <v>0</v>
      </c>
      <c r="W60" s="1"/>
      <c r="X60" s="1">
        <f t="shared" si="46"/>
        <v>-531.5</v>
      </c>
      <c r="Y60" s="1"/>
      <c r="Z60" s="5">
        <f t="shared" si="47"/>
        <v>-0.47181535730137597</v>
      </c>
    </row>
    <row r="61" spans="1:26" s="24" customFormat="1" hidden="1" outlineLevel="2" x14ac:dyDescent="0.3">
      <c r="A61" s="27"/>
      <c r="B61" s="11" t="str">
        <f>CONCATENATE("          ", "6376", " - ", "TRAINING")</f>
        <v xml:space="preserve">          6376 - TRAINING</v>
      </c>
      <c r="C61" s="11"/>
      <c r="D61" s="7"/>
      <c r="E61" s="2"/>
      <c r="F61" s="6">
        <f t="shared" si="40"/>
        <v>0</v>
      </c>
      <c r="G61" s="2"/>
      <c r="H61" s="7"/>
      <c r="I61" s="2"/>
      <c r="J61" s="6">
        <f t="shared" si="41"/>
        <v>0</v>
      </c>
      <c r="K61" s="2"/>
      <c r="L61" s="7">
        <f t="shared" si="42"/>
        <v>0</v>
      </c>
      <c r="M61" s="2"/>
      <c r="N61" s="6">
        <f t="shared" si="43"/>
        <v>0</v>
      </c>
      <c r="O61" s="11"/>
      <c r="P61" s="7">
        <v>595</v>
      </c>
      <c r="Q61" s="2"/>
      <c r="R61" s="6">
        <f t="shared" si="44"/>
        <v>0</v>
      </c>
      <c r="S61" s="2"/>
      <c r="T61" s="7">
        <v>1126.5</v>
      </c>
      <c r="U61" s="2"/>
      <c r="V61" s="6">
        <f t="shared" si="45"/>
        <v>0</v>
      </c>
      <c r="W61" s="2"/>
      <c r="X61" s="7">
        <f t="shared" si="46"/>
        <v>-531.5</v>
      </c>
      <c r="Y61" s="2"/>
      <c r="Z61" s="6">
        <f t="shared" si="47"/>
        <v>-0.47181535730137597</v>
      </c>
    </row>
    <row r="62" spans="1:26" s="52" customFormat="1" x14ac:dyDescent="0.3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6" t="s">
        <v>292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10"/>
      <c r="B65" s="25" t="s">
        <v>276</v>
      </c>
      <c r="C65" s="25"/>
      <c r="D65" s="21">
        <f>+D16-D18+D63</f>
        <v>-117409.44</v>
      </c>
      <c r="E65" s="13"/>
      <c r="F65" s="22">
        <f>IF(D$12=0,0,D65/D$12)</f>
        <v>0</v>
      </c>
      <c r="G65" s="13"/>
      <c r="H65" s="21">
        <f>+H16-H18+H63</f>
        <v>-36488.950000000004</v>
      </c>
      <c r="I65" s="13"/>
      <c r="J65" s="22">
        <f>IF(H$12=0,0,H65/H$12)</f>
        <v>0</v>
      </c>
      <c r="K65" s="15"/>
      <c r="L65" s="21">
        <f>+D65-H65</f>
        <v>-80920.489999999991</v>
      </c>
      <c r="M65" s="15"/>
      <c r="N65" s="22">
        <f>IF(H65=0,0,L65/H65)</f>
        <v>2.217671103169589</v>
      </c>
      <c r="O65" s="26"/>
      <c r="P65" s="21">
        <f>+P16-P18+P63</f>
        <v>-356424.89</v>
      </c>
      <c r="Q65" s="13"/>
      <c r="R65" s="22">
        <f>IF(P$12=0,0,P65/P$12)</f>
        <v>0</v>
      </c>
      <c r="S65" s="13"/>
      <c r="T65" s="21">
        <f>+T16-T18+T63</f>
        <v>-268227.72000000003</v>
      </c>
      <c r="U65" s="13"/>
      <c r="V65" s="22">
        <f>IF(T$12=0,0,T65/T$12)</f>
        <v>0</v>
      </c>
      <c r="W65" s="15"/>
      <c r="X65" s="21">
        <f>+P65-T65</f>
        <v>-88197.169999999984</v>
      </c>
      <c r="Y65" s="15"/>
      <c r="Z65" s="22">
        <f>IF(T65=0,0,X65/T65)</f>
        <v>0.32881452371887576</v>
      </c>
    </row>
    <row r="66" spans="1:26" x14ac:dyDescent="0.3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51"/>
      <c r="B67" s="10" t="s">
        <v>127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3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5" t="s">
        <v>125</v>
      </c>
      <c r="C69" s="25"/>
      <c r="D69" s="36">
        <f>+D65-D67</f>
        <v>-117409.44</v>
      </c>
      <c r="E69" s="13"/>
      <c r="F69" s="31">
        <f>IF(D$12=0,0,D69/D$12)</f>
        <v>0</v>
      </c>
      <c r="G69" s="13"/>
      <c r="H69" s="36">
        <f>+H65-H67</f>
        <v>-36488.950000000004</v>
      </c>
      <c r="I69" s="13"/>
      <c r="J69" s="31">
        <f>IF(H$12=0,0,H69/H$12)</f>
        <v>0</v>
      </c>
      <c r="K69" s="15"/>
      <c r="L69" s="36">
        <f>D69-H69</f>
        <v>-80920.489999999991</v>
      </c>
      <c r="M69" s="15"/>
      <c r="N69" s="31">
        <f>IF(H69=0,0,L69/H69)</f>
        <v>2.217671103169589</v>
      </c>
      <c r="O69" s="26"/>
      <c r="P69" s="36">
        <f>+P65-P67</f>
        <v>-356424.89</v>
      </c>
      <c r="Q69" s="13"/>
      <c r="R69" s="31">
        <f>IF(P$12=0,0,P69/P$12)</f>
        <v>0</v>
      </c>
      <c r="S69" s="13"/>
      <c r="T69" s="36">
        <f>+T65-T67</f>
        <v>-268227.72000000003</v>
      </c>
      <c r="U69" s="13"/>
      <c r="V69" s="31">
        <f>IF(T$12=0,0,T69/T$12)</f>
        <v>0</v>
      </c>
      <c r="W69" s="15"/>
      <c r="X69" s="36">
        <f>P69-T69</f>
        <v>-88197.169999999984</v>
      </c>
      <c r="Y69" s="15"/>
      <c r="Z69" s="31">
        <f>IF(T69=0,0,X69/T69)</f>
        <v>0.32881452371887576</v>
      </c>
    </row>
    <row r="70" spans="1:26" ht="15" thickTop="1" x14ac:dyDescent="0.3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5" t="s">
        <v>293</v>
      </c>
      <c r="C72" s="25"/>
      <c r="D72" s="35">
        <f>SUM(D69:D71)</f>
        <v>-117409.44</v>
      </c>
      <c r="E72" s="13"/>
      <c r="F72" s="32">
        <f>IF(D$12=0,0,D72/D$12)</f>
        <v>0</v>
      </c>
      <c r="G72" s="13"/>
      <c r="H72" s="35">
        <f>SUM(H69:H71)</f>
        <v>-36488.950000000004</v>
      </c>
      <c r="I72" s="13"/>
      <c r="J72" s="32">
        <f>IF(H$12=0,0,H72/H$12)</f>
        <v>0</v>
      </c>
      <c r="K72" s="15"/>
      <c r="L72" s="35">
        <f>+D72-H72</f>
        <v>-80920.489999999991</v>
      </c>
      <c r="M72" s="15"/>
      <c r="N72" s="32">
        <f>IF(H72=0,0,L72/H72)</f>
        <v>2.217671103169589</v>
      </c>
      <c r="O72" s="26"/>
      <c r="P72" s="35">
        <f>SUM(P69:P71)</f>
        <v>-356424.89</v>
      </c>
      <c r="Q72" s="13"/>
      <c r="R72" s="32">
        <f>IF(P$12=0,0,P72/P$12)</f>
        <v>0</v>
      </c>
      <c r="S72" s="13"/>
      <c r="T72" s="35">
        <f>SUM(T69:T71)</f>
        <v>-268227.72000000003</v>
      </c>
      <c r="U72" s="13"/>
      <c r="V72" s="32">
        <f>IF(T$12=0,0,T72/T$12)</f>
        <v>0</v>
      </c>
      <c r="W72" s="15"/>
      <c r="X72" s="35">
        <f>+P72-T72</f>
        <v>-88197.169999999984</v>
      </c>
      <c r="Y72" s="15"/>
      <c r="Z72" s="32">
        <f>IF(T72=0,0,X72/T72)</f>
        <v>0.32881452371887576</v>
      </c>
    </row>
    <row r="73" spans="1:26" ht="15" thickTop="1" x14ac:dyDescent="0.3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54">
        <v>44604.028475694446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3" t="s">
        <v>56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","202", " - ", "Accounting")</f>
        <v>Department 202 - Accounting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51286.95</v>
      </c>
      <c r="E18" s="20"/>
      <c r="F18" s="30">
        <f t="shared" ref="F18:F27" si="0">IF(D$12=0,0,D18/D$12)</f>
        <v>0</v>
      </c>
      <c r="G18" s="20"/>
      <c r="H18" s="20">
        <f>SUM(OSRRefH22x_0)</f>
        <v>46973.339999999989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4313.6100000000079</v>
      </c>
      <c r="M18" s="4"/>
      <c r="N18" s="30">
        <f t="shared" ref="N18:N27" si="3">IF(H18=0,0,L18/H18)</f>
        <v>9.1831025854240064E-2</v>
      </c>
      <c r="O18" s="10"/>
      <c r="P18" s="20">
        <f>SUM(OSRRefP22x_0)</f>
        <v>294335.84000000008</v>
      </c>
      <c r="Q18" s="20"/>
      <c r="R18" s="30">
        <f t="shared" ref="R18:R27" si="4">IF(P$12=0,0,P18/P$12)</f>
        <v>0</v>
      </c>
      <c r="S18" s="20"/>
      <c r="T18" s="20">
        <f>SUM(OSRRefT22x_0)</f>
        <v>271970.68999999994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22365.15000000014</v>
      </c>
      <c r="Y18" s="4"/>
      <c r="Z18" s="30">
        <f t="shared" ref="Z18:Z27" si="7">IF(T18=0,0,X18/T18)</f>
        <v>8.2233677459876808E-2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16767.609999999997</v>
      </c>
      <c r="E19" s="1"/>
      <c r="F19" s="5">
        <f t="shared" si="0"/>
        <v>0</v>
      </c>
      <c r="G19" s="1"/>
      <c r="H19" s="1">
        <f>SUM(OSRRefH22_0x_0)</f>
        <v>13584.88</v>
      </c>
      <c r="I19" s="1"/>
      <c r="J19" s="5">
        <f t="shared" si="1"/>
        <v>0</v>
      </c>
      <c r="K19" s="1"/>
      <c r="L19" s="1">
        <f t="shared" si="2"/>
        <v>3182.7299999999977</v>
      </c>
      <c r="M19" s="1"/>
      <c r="N19" s="5">
        <f t="shared" si="3"/>
        <v>0.2342847342044978</v>
      </c>
      <c r="O19" s="14"/>
      <c r="P19" s="1">
        <f>SUM(OSRRefP22_0x_0)</f>
        <v>97723.55</v>
      </c>
      <c r="Q19" s="1"/>
      <c r="R19" s="5">
        <f t="shared" si="4"/>
        <v>0</v>
      </c>
      <c r="S19" s="1"/>
      <c r="T19" s="1">
        <f>SUM(OSRRefT22_0x_0)</f>
        <v>93498.680000000008</v>
      </c>
      <c r="U19" s="1"/>
      <c r="V19" s="5">
        <f t="shared" si="5"/>
        <v>0</v>
      </c>
      <c r="W19" s="1"/>
      <c r="X19" s="1">
        <f t="shared" si="6"/>
        <v>4224.8699999999953</v>
      </c>
      <c r="Y19" s="1"/>
      <c r="Z19" s="5">
        <f t="shared" si="7"/>
        <v>4.5186413326904672E-2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1695.1</v>
      </c>
      <c r="E20" s="2"/>
      <c r="F20" s="6">
        <f t="shared" si="0"/>
        <v>0</v>
      </c>
      <c r="G20" s="2"/>
      <c r="H20" s="7">
        <v>1630.13</v>
      </c>
      <c r="I20" s="2"/>
      <c r="J20" s="6">
        <f t="shared" si="1"/>
        <v>0</v>
      </c>
      <c r="K20" s="2"/>
      <c r="L20" s="7">
        <f t="shared" si="2"/>
        <v>64.9699999999998</v>
      </c>
      <c r="M20" s="2"/>
      <c r="N20" s="6">
        <f t="shared" si="3"/>
        <v>3.9855717028703108E-2</v>
      </c>
      <c r="O20" s="11"/>
      <c r="P20" s="7">
        <v>12431.24</v>
      </c>
      <c r="Q20" s="2"/>
      <c r="R20" s="6">
        <f t="shared" si="4"/>
        <v>0</v>
      </c>
      <c r="S20" s="2"/>
      <c r="T20" s="7">
        <v>13431.51</v>
      </c>
      <c r="U20" s="2"/>
      <c r="V20" s="6">
        <f t="shared" si="5"/>
        <v>0</v>
      </c>
      <c r="W20" s="2"/>
      <c r="X20" s="7">
        <f t="shared" si="6"/>
        <v>-1000.2700000000004</v>
      </c>
      <c r="Y20" s="2"/>
      <c r="Z20" s="6">
        <f t="shared" si="7"/>
        <v>-7.447189482046325E-2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285.83999999999997</v>
      </c>
      <c r="E21" s="2"/>
      <c r="F21" s="6">
        <f t="shared" si="0"/>
        <v>0</v>
      </c>
      <c r="G21" s="2"/>
      <c r="H21" s="7">
        <v>-16.73</v>
      </c>
      <c r="I21" s="2"/>
      <c r="J21" s="6">
        <f t="shared" si="1"/>
        <v>0</v>
      </c>
      <c r="K21" s="2"/>
      <c r="L21" s="7">
        <f t="shared" si="2"/>
        <v>302.57</v>
      </c>
      <c r="M21" s="2"/>
      <c r="N21" s="6">
        <f t="shared" si="3"/>
        <v>-18.085475194261804</v>
      </c>
      <c r="O21" s="11"/>
      <c r="P21" s="7">
        <v>2131.8200000000002</v>
      </c>
      <c r="Q21" s="2"/>
      <c r="R21" s="6">
        <f t="shared" si="4"/>
        <v>0</v>
      </c>
      <c r="S21" s="2"/>
      <c r="T21" s="7">
        <v>577.57000000000005</v>
      </c>
      <c r="U21" s="2"/>
      <c r="V21" s="6">
        <f t="shared" si="5"/>
        <v>0</v>
      </c>
      <c r="W21" s="2"/>
      <c r="X21" s="7">
        <f t="shared" si="6"/>
        <v>1554.25</v>
      </c>
      <c r="Y21" s="2"/>
      <c r="Z21" s="6">
        <f t="shared" si="7"/>
        <v>2.6910158076077355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5721.83</v>
      </c>
      <c r="E22" s="2"/>
      <c r="F22" s="6">
        <f t="shared" si="0"/>
        <v>0</v>
      </c>
      <c r="G22" s="2"/>
      <c r="H22" s="7">
        <v>6236.66</v>
      </c>
      <c r="I22" s="2"/>
      <c r="J22" s="6">
        <f t="shared" si="1"/>
        <v>0</v>
      </c>
      <c r="K22" s="2"/>
      <c r="L22" s="7">
        <f t="shared" si="2"/>
        <v>-514.82999999999993</v>
      </c>
      <c r="M22" s="2"/>
      <c r="N22" s="6">
        <f t="shared" si="3"/>
        <v>-8.2548992569740839E-2</v>
      </c>
      <c r="O22" s="11"/>
      <c r="P22" s="7">
        <v>43096.79</v>
      </c>
      <c r="Q22" s="2"/>
      <c r="R22" s="6">
        <f t="shared" si="4"/>
        <v>0</v>
      </c>
      <c r="S22" s="2"/>
      <c r="T22" s="7">
        <v>41677.94</v>
      </c>
      <c r="U22" s="2"/>
      <c r="V22" s="6">
        <f t="shared" si="5"/>
        <v>0</v>
      </c>
      <c r="W22" s="2"/>
      <c r="X22" s="7">
        <f t="shared" si="6"/>
        <v>1418.8499999999985</v>
      </c>
      <c r="Y22" s="2"/>
      <c r="Z22" s="6">
        <f t="shared" si="7"/>
        <v>3.4043189274709798E-2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57.61</v>
      </c>
      <c r="E23" s="2"/>
      <c r="F23" s="6">
        <f t="shared" si="0"/>
        <v>0</v>
      </c>
      <c r="G23" s="2"/>
      <c r="H23" s="7">
        <v>110.59</v>
      </c>
      <c r="I23" s="2"/>
      <c r="J23" s="6">
        <f t="shared" si="1"/>
        <v>0</v>
      </c>
      <c r="K23" s="2"/>
      <c r="L23" s="7">
        <f t="shared" si="2"/>
        <v>-52.980000000000004</v>
      </c>
      <c r="M23" s="2"/>
      <c r="N23" s="6">
        <f t="shared" si="3"/>
        <v>-0.47906682340175427</v>
      </c>
      <c r="O23" s="11"/>
      <c r="P23" s="7">
        <v>429.67</v>
      </c>
      <c r="Q23" s="2"/>
      <c r="R23" s="6">
        <f t="shared" si="4"/>
        <v>0</v>
      </c>
      <c r="S23" s="2"/>
      <c r="T23" s="7">
        <v>455.03</v>
      </c>
      <c r="U23" s="2"/>
      <c r="V23" s="6">
        <f t="shared" si="5"/>
        <v>0</v>
      </c>
      <c r="W23" s="2"/>
      <c r="X23" s="7">
        <f t="shared" si="6"/>
        <v>-25.359999999999957</v>
      </c>
      <c r="Y23" s="2"/>
      <c r="Z23" s="6">
        <f t="shared" si="7"/>
        <v>-5.5732589060061885E-2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2025.83</v>
      </c>
      <c r="E24" s="2"/>
      <c r="F24" s="6">
        <f t="shared" si="0"/>
        <v>0</v>
      </c>
      <c r="G24" s="2"/>
      <c r="H24" s="7">
        <v>2968.15</v>
      </c>
      <c r="I24" s="2"/>
      <c r="J24" s="6">
        <f t="shared" si="1"/>
        <v>0</v>
      </c>
      <c r="K24" s="2"/>
      <c r="L24" s="7">
        <f t="shared" si="2"/>
        <v>-942.32000000000016</v>
      </c>
      <c r="M24" s="2"/>
      <c r="N24" s="6">
        <f t="shared" si="3"/>
        <v>-0.31747721644795585</v>
      </c>
      <c r="O24" s="11"/>
      <c r="P24" s="7">
        <v>14843.01</v>
      </c>
      <c r="Q24" s="2"/>
      <c r="R24" s="6">
        <f t="shared" si="4"/>
        <v>0</v>
      </c>
      <c r="S24" s="2"/>
      <c r="T24" s="7">
        <v>16681.39</v>
      </c>
      <c r="U24" s="2"/>
      <c r="V24" s="6">
        <f t="shared" si="5"/>
        <v>0</v>
      </c>
      <c r="W24" s="2"/>
      <c r="X24" s="7">
        <f t="shared" si="6"/>
        <v>-1838.3799999999992</v>
      </c>
      <c r="Y24" s="2"/>
      <c r="Z24" s="6">
        <f t="shared" si="7"/>
        <v>-0.11020544451031954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3060.55</v>
      </c>
      <c r="E25" s="2"/>
      <c r="F25" s="6">
        <f t="shared" si="0"/>
        <v>0</v>
      </c>
      <c r="G25" s="2"/>
      <c r="H25" s="7">
        <v>1606.1</v>
      </c>
      <c r="I25" s="2"/>
      <c r="J25" s="6">
        <f t="shared" si="1"/>
        <v>0</v>
      </c>
      <c r="K25" s="2"/>
      <c r="L25" s="7">
        <f t="shared" si="2"/>
        <v>1454.4500000000003</v>
      </c>
      <c r="M25" s="2"/>
      <c r="N25" s="6">
        <f t="shared" si="3"/>
        <v>0.90557873108772824</v>
      </c>
      <c r="O25" s="11"/>
      <c r="P25" s="7">
        <v>11248.53</v>
      </c>
      <c r="Q25" s="2"/>
      <c r="R25" s="6">
        <f t="shared" si="4"/>
        <v>0</v>
      </c>
      <c r="S25" s="2"/>
      <c r="T25" s="7">
        <v>11703.77</v>
      </c>
      <c r="U25" s="2"/>
      <c r="V25" s="6">
        <f t="shared" si="5"/>
        <v>0</v>
      </c>
      <c r="W25" s="2"/>
      <c r="X25" s="7">
        <f t="shared" si="6"/>
        <v>-455.23999999999978</v>
      </c>
      <c r="Y25" s="2"/>
      <c r="Z25" s="6">
        <f t="shared" si="7"/>
        <v>-3.8896868274068935E-2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3462.99</v>
      </c>
      <c r="E26" s="2"/>
      <c r="F26" s="6">
        <f t="shared" si="0"/>
        <v>0</v>
      </c>
      <c r="G26" s="2"/>
      <c r="H26" s="7">
        <v>979.42</v>
      </c>
      <c r="I26" s="2"/>
      <c r="J26" s="6">
        <f t="shared" si="1"/>
        <v>0</v>
      </c>
      <c r="K26" s="2"/>
      <c r="L26" s="7">
        <f t="shared" si="2"/>
        <v>2483.5699999999997</v>
      </c>
      <c r="M26" s="2"/>
      <c r="N26" s="6">
        <f t="shared" si="3"/>
        <v>2.53575585550632</v>
      </c>
      <c r="O26" s="11"/>
      <c r="P26" s="7">
        <v>9907.5400000000009</v>
      </c>
      <c r="Q26" s="2"/>
      <c r="R26" s="6">
        <f t="shared" si="4"/>
        <v>0</v>
      </c>
      <c r="S26" s="2"/>
      <c r="T26" s="7">
        <v>7345.65</v>
      </c>
      <c r="U26" s="2"/>
      <c r="V26" s="6">
        <f t="shared" si="5"/>
        <v>0</v>
      </c>
      <c r="W26" s="2"/>
      <c r="X26" s="7">
        <f t="shared" si="6"/>
        <v>2561.8900000000012</v>
      </c>
      <c r="Y26" s="2"/>
      <c r="Z26" s="6">
        <f t="shared" si="7"/>
        <v>0.34876287326512989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457.86</v>
      </c>
      <c r="E27" s="2"/>
      <c r="F27" s="6">
        <f t="shared" si="0"/>
        <v>0</v>
      </c>
      <c r="G27" s="2"/>
      <c r="H27" s="7">
        <v>70.56</v>
      </c>
      <c r="I27" s="2"/>
      <c r="J27" s="6">
        <f t="shared" si="1"/>
        <v>0</v>
      </c>
      <c r="K27" s="2"/>
      <c r="L27" s="7">
        <f t="shared" si="2"/>
        <v>387.3</v>
      </c>
      <c r="M27" s="2"/>
      <c r="N27" s="6">
        <f t="shared" si="3"/>
        <v>5.4889455782312924</v>
      </c>
      <c r="O27" s="11"/>
      <c r="P27" s="7">
        <v>3634.95</v>
      </c>
      <c r="Q27" s="2"/>
      <c r="R27" s="6">
        <f t="shared" si="4"/>
        <v>0</v>
      </c>
      <c r="S27" s="2"/>
      <c r="T27" s="7">
        <v>1625.82</v>
      </c>
      <c r="U27" s="2"/>
      <c r="V27" s="6">
        <f t="shared" si="5"/>
        <v>0</v>
      </c>
      <c r="W27" s="2"/>
      <c r="X27" s="7">
        <f t="shared" si="6"/>
        <v>2009.1299999999999</v>
      </c>
      <c r="Y27" s="2"/>
      <c r="Z27" s="6">
        <f t="shared" si="7"/>
        <v>1.2357641067276821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25655.439999999999</v>
      </c>
      <c r="E28" s="1"/>
      <c r="F28" s="5">
        <f t="shared" ref="F28:F31" si="8">IF(D$12=0,0,D28/D$12)</f>
        <v>0</v>
      </c>
      <c r="G28" s="1"/>
      <c r="H28" s="1">
        <f>SUM(OSRRefH22_1x_0)</f>
        <v>25816.6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-161.15999999999985</v>
      </c>
      <c r="M28" s="1"/>
      <c r="N28" s="5">
        <f t="shared" ref="N28:N31" si="11">IF(H28=0,0,L28/H28)</f>
        <v>-6.2424951387866669E-3</v>
      </c>
      <c r="O28" s="14"/>
      <c r="P28" s="1">
        <f>SUM(OSRRefP22_1x_0)</f>
        <v>165208.9</v>
      </c>
      <c r="Q28" s="1"/>
      <c r="R28" s="5">
        <f t="shared" ref="R28:R31" si="12">IF(P$12=0,0,P28/P$12)</f>
        <v>0</v>
      </c>
      <c r="S28" s="1"/>
      <c r="T28" s="1">
        <f>SUM(OSRRefT22_1x_0)</f>
        <v>151676.12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13532.779999999999</v>
      </c>
      <c r="Y28" s="1"/>
      <c r="Z28" s="5">
        <f t="shared" ref="Z28:Z31" si="15">IF(T28=0,0,X28/T28)</f>
        <v>8.922155972871669E-2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7">
        <v>25655.439999999999</v>
      </c>
      <c r="E29" s="2"/>
      <c r="F29" s="6">
        <f t="shared" si="8"/>
        <v>0</v>
      </c>
      <c r="G29" s="2"/>
      <c r="H29" s="7">
        <v>25816.6</v>
      </c>
      <c r="I29" s="2"/>
      <c r="J29" s="6">
        <f t="shared" si="9"/>
        <v>0</v>
      </c>
      <c r="K29" s="2"/>
      <c r="L29" s="7">
        <f t="shared" si="10"/>
        <v>-161.15999999999985</v>
      </c>
      <c r="M29" s="2"/>
      <c r="N29" s="6">
        <f t="shared" si="11"/>
        <v>-6.2424951387866669E-3</v>
      </c>
      <c r="O29" s="11"/>
      <c r="P29" s="7">
        <v>162202.5</v>
      </c>
      <c r="Q29" s="2"/>
      <c r="R29" s="6">
        <f t="shared" si="12"/>
        <v>0</v>
      </c>
      <c r="S29" s="2"/>
      <c r="T29" s="7">
        <v>151294.35999999999</v>
      </c>
      <c r="U29" s="2"/>
      <c r="V29" s="6">
        <f t="shared" si="13"/>
        <v>0</v>
      </c>
      <c r="W29" s="2"/>
      <c r="X29" s="7">
        <f t="shared" si="14"/>
        <v>10908.140000000014</v>
      </c>
      <c r="Y29" s="2"/>
      <c r="Z29" s="6">
        <f t="shared" si="15"/>
        <v>7.2098788084367552E-2</v>
      </c>
    </row>
    <row r="30" spans="1:26" s="24" customFormat="1" hidden="1" outlineLevel="2" x14ac:dyDescent="0.3">
      <c r="A30" s="27"/>
      <c r="B30" s="11" t="str">
        <f>CONCATENATE("          ", "6005", " - ", "TEMPORARY WAGES-HOURLY")</f>
        <v xml:space="preserve">          6005 - TEMPORARY WAGES-HOURLY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265.48</v>
      </c>
      <c r="U30" s="2"/>
      <c r="V30" s="6">
        <f t="shared" si="13"/>
        <v>0</v>
      </c>
      <c r="W30" s="2"/>
      <c r="X30" s="7">
        <f t="shared" si="14"/>
        <v>-265.48</v>
      </c>
      <c r="Y30" s="2"/>
      <c r="Z30" s="6">
        <f t="shared" si="15"/>
        <v>-1</v>
      </c>
    </row>
    <row r="31" spans="1:26" s="24" customFormat="1" hidden="1" outlineLevel="2" x14ac:dyDescent="0.3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3006.4</v>
      </c>
      <c r="Q31" s="2"/>
      <c r="R31" s="6">
        <f t="shared" si="12"/>
        <v>0</v>
      </c>
      <c r="S31" s="2"/>
      <c r="T31" s="7">
        <v>116.28</v>
      </c>
      <c r="U31" s="2"/>
      <c r="V31" s="6">
        <f t="shared" si="13"/>
        <v>0</v>
      </c>
      <c r="W31" s="2"/>
      <c r="X31" s="7">
        <f t="shared" si="14"/>
        <v>2890.12</v>
      </c>
      <c r="Y31" s="2"/>
      <c r="Z31" s="6">
        <f t="shared" si="15"/>
        <v>24.854833161334707</v>
      </c>
    </row>
    <row r="32" spans="1:26" s="29" customFormat="1" outlineLevel="1" collapsed="1" x14ac:dyDescent="0.3">
      <c r="A32" s="28"/>
      <c r="B32" s="14" t="str">
        <f>CONCATENATE("     ","Depreciation                                      ")</f>
        <v xml:space="preserve">     Depreciation                                      </v>
      </c>
      <c r="C32" s="14"/>
      <c r="D32" s="1">
        <f>SUM(OSRRefD22_2x_0)</f>
        <v>1558.88</v>
      </c>
      <c r="E32" s="1"/>
      <c r="F32" s="5">
        <f t="shared" ref="F32:F40" si="16">IF(D$12=0,0,D32/D$12)</f>
        <v>0</v>
      </c>
      <c r="G32" s="1"/>
      <c r="H32" s="1">
        <f>SUM(OSRRefH22_2x_0)</f>
        <v>1558.88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0</v>
      </c>
      <c r="M32" s="1"/>
      <c r="N32" s="5">
        <f t="shared" ref="N32:N40" si="19">IF(H32=0,0,L32/H32)</f>
        <v>0</v>
      </c>
      <c r="O32" s="14"/>
      <c r="P32" s="1">
        <f>SUM(OSRRefP22_2x_0)</f>
        <v>10912.16</v>
      </c>
      <c r="Q32" s="1"/>
      <c r="R32" s="5">
        <f t="shared" ref="R32:R40" si="20">IF(P$12=0,0,P32/P$12)</f>
        <v>0</v>
      </c>
      <c r="S32" s="1"/>
      <c r="T32" s="1">
        <f>SUM(OSRRefT22_2x_0)</f>
        <v>10912.16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0</v>
      </c>
      <c r="Y32" s="1"/>
      <c r="Z32" s="5">
        <f t="shared" ref="Z32:Z40" si="23">IF(T32=0,0,X32/T32)</f>
        <v>0</v>
      </c>
    </row>
    <row r="33" spans="1:26" s="24" customFormat="1" hidden="1" outlineLevel="2" x14ac:dyDescent="0.3">
      <c r="A33" s="27"/>
      <c r="B33" s="11" t="str">
        <f>CONCATENATE("          ", "6322", " - ", "EQUIPMENT DEPRECIATION EXPENSE")</f>
        <v xml:space="preserve">          6322 - EQUIPMENT DEPRECIATION EXPENSE</v>
      </c>
      <c r="C33" s="11"/>
      <c r="D33" s="7">
        <v>1558.88</v>
      </c>
      <c r="E33" s="2"/>
      <c r="F33" s="6">
        <f t="shared" si="16"/>
        <v>0</v>
      </c>
      <c r="G33" s="2"/>
      <c r="H33" s="7">
        <v>1558.88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10912.16</v>
      </c>
      <c r="Q33" s="2"/>
      <c r="R33" s="6">
        <f t="shared" si="20"/>
        <v>0</v>
      </c>
      <c r="S33" s="2"/>
      <c r="T33" s="7">
        <v>10912.16</v>
      </c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9" customFormat="1" outlineLevel="1" collapsed="1" x14ac:dyDescent="0.3">
      <c r="A34" s="28"/>
      <c r="B34" s="14" t="str">
        <f>CONCATENATE("     ","Employees' Appreciation                           ")</f>
        <v xml:space="preserve">     Employees' Appreciation                           </v>
      </c>
      <c r="C34" s="14"/>
      <c r="D34" s="1">
        <f>SUM(OSRRefD22_3x_0)</f>
        <v>0</v>
      </c>
      <c r="E34" s="1"/>
      <c r="F34" s="5">
        <f t="shared" si="16"/>
        <v>0</v>
      </c>
      <c r="G34" s="1"/>
      <c r="H34" s="1">
        <f>SUM(OSRRefH22_3x_0)</f>
        <v>0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8.02</v>
      </c>
      <c r="Q34" s="1"/>
      <c r="R34" s="5">
        <f t="shared" si="20"/>
        <v>0</v>
      </c>
      <c r="S34" s="1"/>
      <c r="T34" s="1">
        <f>SUM(OSRRefT22_3x_0)</f>
        <v>0</v>
      </c>
      <c r="U34" s="1"/>
      <c r="V34" s="5">
        <f t="shared" si="21"/>
        <v>0</v>
      </c>
      <c r="W34" s="1"/>
      <c r="X34" s="1">
        <f t="shared" si="22"/>
        <v>8.02</v>
      </c>
      <c r="Y34" s="1"/>
      <c r="Z34" s="5">
        <f t="shared" si="23"/>
        <v>0</v>
      </c>
    </row>
    <row r="35" spans="1:26" s="24" customFormat="1" hidden="1" outlineLevel="2" x14ac:dyDescent="0.3">
      <c r="A35" s="27"/>
      <c r="B35" s="11" t="str">
        <f>CONCATENATE("          ", "6277", " - ", "EMPLOYEE APPRECIATION")</f>
        <v xml:space="preserve">          6277 - EMPLOYEE APPRECIATION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8.02</v>
      </c>
      <c r="Q35" s="2"/>
      <c r="R35" s="6">
        <f t="shared" si="20"/>
        <v>0</v>
      </c>
      <c r="S35" s="2"/>
      <c r="T35" s="7"/>
      <c r="U35" s="2"/>
      <c r="V35" s="6">
        <f t="shared" si="21"/>
        <v>0</v>
      </c>
      <c r="W35" s="2"/>
      <c r="X35" s="7">
        <f t="shared" si="22"/>
        <v>8.02</v>
      </c>
      <c r="Y35" s="2"/>
      <c r="Z35" s="6">
        <f t="shared" si="23"/>
        <v>0</v>
      </c>
    </row>
    <row r="36" spans="1:26" s="29" customFormat="1" outlineLevel="1" collapsed="1" x14ac:dyDescent="0.3">
      <c r="A36" s="28"/>
      <c r="B36" s="14" t="str">
        <f>CONCATENATE("     ","Equipment Rental                                  ")</f>
        <v xml:space="preserve">     Equipment Rental                                  </v>
      </c>
      <c r="C36" s="14"/>
      <c r="D36" s="1">
        <f>SUM(OSRRefD22_4x_0)</f>
        <v>91.26</v>
      </c>
      <c r="E36" s="1"/>
      <c r="F36" s="5">
        <f t="shared" si="16"/>
        <v>0</v>
      </c>
      <c r="G36" s="1"/>
      <c r="H36" s="1">
        <f>SUM(OSRRefH22_4x_0)</f>
        <v>91.26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SUM(OSRRefP22_4x_0)</f>
        <v>638.82000000000005</v>
      </c>
      <c r="Q36" s="1"/>
      <c r="R36" s="5">
        <f t="shared" si="20"/>
        <v>0</v>
      </c>
      <c r="S36" s="1"/>
      <c r="T36" s="1">
        <f>SUM(OSRRefT22_4x_0)</f>
        <v>638.82000000000005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3">
      <c r="A37" s="27"/>
      <c r="B37" s="11" t="str">
        <f>CONCATENATE("          ", "6351", " - ", "EQUIPMENT RENTAL")</f>
        <v xml:space="preserve">          6351 - EQUIPMENT RENTAL</v>
      </c>
      <c r="C37" s="11"/>
      <c r="D37" s="7">
        <v>91.26</v>
      </c>
      <c r="E37" s="2"/>
      <c r="F37" s="6">
        <f t="shared" si="16"/>
        <v>0</v>
      </c>
      <c r="G37" s="2"/>
      <c r="H37" s="7">
        <v>91.26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638.82000000000005</v>
      </c>
      <c r="Q37" s="2"/>
      <c r="R37" s="6">
        <f t="shared" si="20"/>
        <v>0</v>
      </c>
      <c r="S37" s="2"/>
      <c r="T37" s="7">
        <v>638.82000000000005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9" customFormat="1" outlineLevel="1" collapsed="1" x14ac:dyDescent="0.3">
      <c r="A38" s="28"/>
      <c r="B38" s="14" t="str">
        <f>CONCATENATE("     ","Freight out/Postage                               ")</f>
        <v xml:space="preserve">     Freight out/Postage                               </v>
      </c>
      <c r="C38" s="14"/>
      <c r="D38" s="1">
        <f>SUM(OSRRefD22_5x_0)</f>
        <v>123.15</v>
      </c>
      <c r="E38" s="1"/>
      <c r="F38" s="5">
        <f t="shared" si="16"/>
        <v>0</v>
      </c>
      <c r="G38" s="1"/>
      <c r="H38" s="1">
        <f>SUM(OSRRefH22_5x_0)</f>
        <v>113.28</v>
      </c>
      <c r="I38" s="1"/>
      <c r="J38" s="5">
        <f t="shared" si="17"/>
        <v>0</v>
      </c>
      <c r="K38" s="1"/>
      <c r="L38" s="1">
        <f t="shared" si="18"/>
        <v>9.8700000000000045</v>
      </c>
      <c r="M38" s="1"/>
      <c r="N38" s="5">
        <f t="shared" si="19"/>
        <v>8.7129237288135639E-2</v>
      </c>
      <c r="O38" s="14"/>
      <c r="P38" s="1">
        <f>SUM(OSRRefP22_5x_0)</f>
        <v>916.49</v>
      </c>
      <c r="Q38" s="1"/>
      <c r="R38" s="5">
        <f t="shared" si="20"/>
        <v>0</v>
      </c>
      <c r="S38" s="1"/>
      <c r="T38" s="1">
        <f>SUM(OSRRefT22_5x_0)</f>
        <v>718.14</v>
      </c>
      <c r="U38" s="1"/>
      <c r="V38" s="5">
        <f t="shared" si="21"/>
        <v>0</v>
      </c>
      <c r="W38" s="1"/>
      <c r="X38" s="1">
        <f t="shared" si="22"/>
        <v>198.35000000000002</v>
      </c>
      <c r="Y38" s="1"/>
      <c r="Z38" s="5">
        <f t="shared" si="23"/>
        <v>0.27619962681371324</v>
      </c>
    </row>
    <row r="39" spans="1:26" s="24" customFormat="1" hidden="1" outlineLevel="2" x14ac:dyDescent="0.3">
      <c r="A39" s="27"/>
      <c r="B39" s="11" t="str">
        <f>CONCATENATE("          ", "6305", " - ", "FREIGHT OUT")</f>
        <v xml:space="preserve">          6305 - FREIGHT OUT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5.41</v>
      </c>
      <c r="U39" s="2"/>
      <c r="V39" s="6">
        <f t="shared" si="21"/>
        <v>0</v>
      </c>
      <c r="W39" s="2"/>
      <c r="X39" s="7">
        <f t="shared" si="22"/>
        <v>-5.41</v>
      </c>
      <c r="Y39" s="2"/>
      <c r="Z39" s="6">
        <f t="shared" si="23"/>
        <v>-1</v>
      </c>
    </row>
    <row r="40" spans="1:26" s="24" customFormat="1" hidden="1" outlineLevel="2" x14ac:dyDescent="0.3">
      <c r="A40" s="27"/>
      <c r="B40" s="11" t="str">
        <f>CONCATENATE("          ", "6307", " - ", "POSTAGE")</f>
        <v xml:space="preserve">          6307 - POSTAGE</v>
      </c>
      <c r="C40" s="11"/>
      <c r="D40" s="7">
        <v>123.15</v>
      </c>
      <c r="E40" s="2"/>
      <c r="F40" s="6">
        <f t="shared" si="16"/>
        <v>0</v>
      </c>
      <c r="G40" s="2"/>
      <c r="H40" s="7">
        <v>113.28</v>
      </c>
      <c r="I40" s="2"/>
      <c r="J40" s="6">
        <f t="shared" si="17"/>
        <v>0</v>
      </c>
      <c r="K40" s="2"/>
      <c r="L40" s="7">
        <f t="shared" si="18"/>
        <v>9.8700000000000045</v>
      </c>
      <c r="M40" s="2"/>
      <c r="N40" s="6">
        <f t="shared" si="19"/>
        <v>8.7129237288135639E-2</v>
      </c>
      <c r="O40" s="11"/>
      <c r="P40" s="7">
        <v>916.49</v>
      </c>
      <c r="Q40" s="2"/>
      <c r="R40" s="6">
        <f t="shared" si="20"/>
        <v>0</v>
      </c>
      <c r="S40" s="2"/>
      <c r="T40" s="7">
        <v>712.73</v>
      </c>
      <c r="U40" s="2"/>
      <c r="V40" s="6">
        <f t="shared" si="21"/>
        <v>0</v>
      </c>
      <c r="W40" s="2"/>
      <c r="X40" s="7">
        <f t="shared" si="22"/>
        <v>203.76</v>
      </c>
      <c r="Y40" s="2"/>
      <c r="Z40" s="6">
        <f t="shared" si="23"/>
        <v>0.28588666114798028</v>
      </c>
    </row>
    <row r="41" spans="1:26" s="29" customFormat="1" outlineLevel="1" collapsed="1" x14ac:dyDescent="0.3">
      <c r="A41" s="28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SUM(OSRRefD22_6x_0)</f>
        <v>179.64</v>
      </c>
      <c r="E41" s="1"/>
      <c r="F41" s="5">
        <f t="shared" ref="F41:F46" si="24">IF(D$12=0,0,D41/D$12)</f>
        <v>0</v>
      </c>
      <c r="G41" s="1"/>
      <c r="H41" s="1">
        <f>SUM(OSRRefH22_6x_0)</f>
        <v>132.16999999999999</v>
      </c>
      <c r="I41" s="1"/>
      <c r="J41" s="5">
        <f t="shared" ref="J41:J46" si="25">IF(H$12=0,0,H41/H$12)</f>
        <v>0</v>
      </c>
      <c r="K41" s="1"/>
      <c r="L41" s="1">
        <f t="shared" ref="L41:L46" si="26">+D41-H41</f>
        <v>47.47</v>
      </c>
      <c r="M41" s="1"/>
      <c r="N41" s="5">
        <f t="shared" ref="N41:N46" si="27">IF(H41=0,0,L41/H41)</f>
        <v>0.35915865930241359</v>
      </c>
      <c r="O41" s="14"/>
      <c r="P41" s="1">
        <f>SUM(OSRRefP22_6x_0)</f>
        <v>1257.48</v>
      </c>
      <c r="Q41" s="1"/>
      <c r="R41" s="5">
        <f t="shared" ref="R41:R46" si="28">IF(P$12=0,0,P41/P$12)</f>
        <v>0</v>
      </c>
      <c r="S41" s="1"/>
      <c r="T41" s="1">
        <f>SUM(OSRRefT22_6x_0)</f>
        <v>925.19</v>
      </c>
      <c r="U41" s="1"/>
      <c r="V41" s="5">
        <f t="shared" ref="V41:V46" si="29">IF(T$12=0,0,T41/T$12)</f>
        <v>0</v>
      </c>
      <c r="W41" s="1"/>
      <c r="X41" s="1">
        <f t="shared" ref="X41:X46" si="30">+P41-T41</f>
        <v>332.28999999999996</v>
      </c>
      <c r="Y41" s="1"/>
      <c r="Z41" s="5">
        <f t="shared" ref="Z41:Z46" si="31">IF(T41=0,0,X41/T41)</f>
        <v>0.35915865930241347</v>
      </c>
    </row>
    <row r="42" spans="1:26" s="24" customFormat="1" hidden="1" outlineLevel="2" x14ac:dyDescent="0.3">
      <c r="A42" s="27"/>
      <c r="B42" s="11" t="str">
        <f>CONCATENATE("          ", "6314", " - ", "LIABILITY INSURANCE")</f>
        <v xml:space="preserve">          6314 - LIABILITY INSURANCE</v>
      </c>
      <c r="C42" s="11"/>
      <c r="D42" s="7">
        <v>179.64</v>
      </c>
      <c r="E42" s="2"/>
      <c r="F42" s="6">
        <f t="shared" si="24"/>
        <v>0</v>
      </c>
      <c r="G42" s="2"/>
      <c r="H42" s="7">
        <v>132.16999999999999</v>
      </c>
      <c r="I42" s="2"/>
      <c r="J42" s="6">
        <f t="shared" si="25"/>
        <v>0</v>
      </c>
      <c r="K42" s="2"/>
      <c r="L42" s="7">
        <f t="shared" si="26"/>
        <v>47.47</v>
      </c>
      <c r="M42" s="2"/>
      <c r="N42" s="6">
        <f t="shared" si="27"/>
        <v>0.35915865930241359</v>
      </c>
      <c r="O42" s="11"/>
      <c r="P42" s="7">
        <v>1257.48</v>
      </c>
      <c r="Q42" s="2"/>
      <c r="R42" s="6">
        <f t="shared" si="28"/>
        <v>0</v>
      </c>
      <c r="S42" s="2"/>
      <c r="T42" s="7">
        <v>925.19</v>
      </c>
      <c r="U42" s="2"/>
      <c r="V42" s="6">
        <f t="shared" si="29"/>
        <v>0</v>
      </c>
      <c r="W42" s="2"/>
      <c r="X42" s="7">
        <f t="shared" si="30"/>
        <v>332.28999999999996</v>
      </c>
      <c r="Y42" s="2"/>
      <c r="Z42" s="6">
        <f t="shared" si="31"/>
        <v>0.35915865930241347</v>
      </c>
    </row>
    <row r="43" spans="1:26" s="29" customFormat="1" outlineLevel="1" collapsed="1" x14ac:dyDescent="0.3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SUM(OSRRefD22_7x_0)</f>
        <v>5233.91</v>
      </c>
      <c r="E43" s="1"/>
      <c r="F43" s="5">
        <f t="shared" si="24"/>
        <v>0</v>
      </c>
      <c r="G43" s="1"/>
      <c r="H43" s="1">
        <f>SUM(OSRRefH22_7x_0)</f>
        <v>4664.16</v>
      </c>
      <c r="I43" s="1"/>
      <c r="J43" s="5">
        <f t="shared" si="25"/>
        <v>0</v>
      </c>
      <c r="K43" s="1"/>
      <c r="L43" s="1">
        <f t="shared" si="26"/>
        <v>569.75</v>
      </c>
      <c r="M43" s="1"/>
      <c r="N43" s="5">
        <f t="shared" si="27"/>
        <v>0.12215490034647182</v>
      </c>
      <c r="O43" s="14"/>
      <c r="P43" s="1">
        <f>SUM(OSRRefP22_7x_0)</f>
        <v>7202.4499999999989</v>
      </c>
      <c r="Q43" s="1"/>
      <c r="R43" s="5">
        <f t="shared" si="28"/>
        <v>0</v>
      </c>
      <c r="S43" s="1"/>
      <c r="T43" s="1">
        <f>SUM(OSRRefT22_7x_0)</f>
        <v>5617.03</v>
      </c>
      <c r="U43" s="1"/>
      <c r="V43" s="5">
        <f t="shared" si="29"/>
        <v>0</v>
      </c>
      <c r="W43" s="1"/>
      <c r="X43" s="1">
        <f t="shared" si="30"/>
        <v>1585.4199999999992</v>
      </c>
      <c r="Y43" s="1"/>
      <c r="Z43" s="5">
        <f t="shared" si="31"/>
        <v>0.28225236468382742</v>
      </c>
    </row>
    <row r="44" spans="1:26" s="24" customFormat="1" hidden="1" outlineLevel="2" x14ac:dyDescent="0.3">
      <c r="A44" s="27"/>
      <c r="B44" s="11" t="str">
        <f>CONCATENATE("          ", "6371", " - ", "COMPUTER SOFTWARE MAINTENANCE")</f>
        <v xml:space="preserve">          6371 - COMPUTER SOFTWARE MAINTENANCE</v>
      </c>
      <c r="C44" s="11"/>
      <c r="D44" s="7">
        <v>59.95</v>
      </c>
      <c r="E44" s="2"/>
      <c r="F44" s="6">
        <f t="shared" si="24"/>
        <v>0</v>
      </c>
      <c r="G44" s="2"/>
      <c r="H44" s="7">
        <v>59.95</v>
      </c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419.65</v>
      </c>
      <c r="Q44" s="2"/>
      <c r="R44" s="6">
        <f t="shared" si="28"/>
        <v>0</v>
      </c>
      <c r="S44" s="2"/>
      <c r="T44" s="7">
        <v>955.9</v>
      </c>
      <c r="U44" s="2"/>
      <c r="V44" s="6">
        <f t="shared" si="29"/>
        <v>0</v>
      </c>
      <c r="W44" s="2"/>
      <c r="X44" s="7">
        <f t="shared" si="30"/>
        <v>-536.25</v>
      </c>
      <c r="Y44" s="2"/>
      <c r="Z44" s="6">
        <f t="shared" si="31"/>
        <v>-0.56098964326812428</v>
      </c>
    </row>
    <row r="45" spans="1:26" s="24" customFormat="1" hidden="1" outlineLevel="2" x14ac:dyDescent="0.3">
      <c r="A45" s="27"/>
      <c r="B45" s="11" t="str">
        <f>CONCATENATE("          ", "6373", " - ", "MAINTENANCE CONTRACTS")</f>
        <v xml:space="preserve">          6373 - MAINTENANCE CONTRACTS</v>
      </c>
      <c r="C45" s="11"/>
      <c r="D45" s="7">
        <v>5173.96</v>
      </c>
      <c r="E45" s="2"/>
      <c r="F45" s="6">
        <f t="shared" si="24"/>
        <v>0</v>
      </c>
      <c r="G45" s="2"/>
      <c r="H45" s="7">
        <v>4604.21</v>
      </c>
      <c r="I45" s="2"/>
      <c r="J45" s="6">
        <f t="shared" si="25"/>
        <v>0</v>
      </c>
      <c r="K45" s="2"/>
      <c r="L45" s="7">
        <f t="shared" si="26"/>
        <v>569.75</v>
      </c>
      <c r="M45" s="2"/>
      <c r="N45" s="6">
        <f t="shared" si="27"/>
        <v>0.12374544167186119</v>
      </c>
      <c r="O45" s="11"/>
      <c r="P45" s="7">
        <v>5225.24</v>
      </c>
      <c r="Q45" s="2"/>
      <c r="R45" s="6">
        <f t="shared" si="28"/>
        <v>0</v>
      </c>
      <c r="S45" s="2"/>
      <c r="T45" s="7">
        <v>4661.13</v>
      </c>
      <c r="U45" s="2"/>
      <c r="V45" s="6">
        <f t="shared" si="29"/>
        <v>0</v>
      </c>
      <c r="W45" s="2"/>
      <c r="X45" s="7">
        <f t="shared" si="30"/>
        <v>564.10999999999967</v>
      </c>
      <c r="Y45" s="2"/>
      <c r="Z45" s="6">
        <f t="shared" si="31"/>
        <v>0.1210243009742272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1557.56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1557.56</v>
      </c>
      <c r="Y46" s="2"/>
      <c r="Z46" s="6">
        <f t="shared" si="31"/>
        <v>0</v>
      </c>
    </row>
    <row r="47" spans="1:26" s="29" customFormat="1" outlineLevel="1" collapsed="1" x14ac:dyDescent="0.3">
      <c r="A47" s="28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SUM(OSRRefD22_8x_0)</f>
        <v>1208.05</v>
      </c>
      <c r="E47" s="1"/>
      <c r="F47" s="5">
        <f t="shared" ref="F47:F51" si="32">IF(D$12=0,0,D47/D$12)</f>
        <v>0</v>
      </c>
      <c r="G47" s="1"/>
      <c r="H47" s="1">
        <f>SUM(OSRRefH22_8x_0)</f>
        <v>632.79999999999995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575.25</v>
      </c>
      <c r="M47" s="1"/>
      <c r="N47" s="5">
        <f t="shared" ref="N47:N51" si="35">IF(H47=0,0,L47/H47)</f>
        <v>0.90905499367888754</v>
      </c>
      <c r="O47" s="14"/>
      <c r="P47" s="1">
        <f>SUM(OSRRefP22_8x_0)</f>
        <v>5205.46</v>
      </c>
      <c r="Q47" s="1"/>
      <c r="R47" s="5">
        <f t="shared" ref="R47:R51" si="36">IF(P$12=0,0,P47/P$12)</f>
        <v>0</v>
      </c>
      <c r="S47" s="1"/>
      <c r="T47" s="1">
        <f>SUM(OSRRefT22_8x_0)</f>
        <v>3707.68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1497.7800000000002</v>
      </c>
      <c r="Y47" s="1"/>
      <c r="Z47" s="5">
        <f t="shared" ref="Z47:Z51" si="39">IF(T47=0,0,X47/T47)</f>
        <v>0.4039669011349416</v>
      </c>
    </row>
    <row r="48" spans="1:26" s="24" customFormat="1" hidden="1" outlineLevel="2" x14ac:dyDescent="0.3">
      <c r="A48" s="27"/>
      <c r="B48" s="11" t="str">
        <f>CONCATENATE("          ", "6281", " - ", "STORAGE FEE")</f>
        <v xml:space="preserve">          6281 - STORAGE FEE</v>
      </c>
      <c r="C48" s="11"/>
      <c r="D48" s="7">
        <v>1208.05</v>
      </c>
      <c r="E48" s="2"/>
      <c r="F48" s="6">
        <f t="shared" si="32"/>
        <v>0</v>
      </c>
      <c r="G48" s="2"/>
      <c r="H48" s="7">
        <v>632.79999999999995</v>
      </c>
      <c r="I48" s="2"/>
      <c r="J48" s="6">
        <f t="shared" si="33"/>
        <v>0</v>
      </c>
      <c r="K48" s="2"/>
      <c r="L48" s="7">
        <f t="shared" si="34"/>
        <v>575.25</v>
      </c>
      <c r="M48" s="2"/>
      <c r="N48" s="6">
        <f t="shared" si="35"/>
        <v>0.90905499367888754</v>
      </c>
      <c r="O48" s="11"/>
      <c r="P48" s="7">
        <v>5205.46</v>
      </c>
      <c r="Q48" s="2"/>
      <c r="R48" s="6">
        <f t="shared" si="36"/>
        <v>0</v>
      </c>
      <c r="S48" s="2"/>
      <c r="T48" s="7">
        <v>3707.68</v>
      </c>
      <c r="U48" s="2"/>
      <c r="V48" s="6">
        <f t="shared" si="37"/>
        <v>0</v>
      </c>
      <c r="W48" s="2"/>
      <c r="X48" s="7">
        <f t="shared" si="38"/>
        <v>1497.7800000000002</v>
      </c>
      <c r="Y48" s="2"/>
      <c r="Z48" s="6">
        <f t="shared" si="39"/>
        <v>0.4039669011349416</v>
      </c>
    </row>
    <row r="49" spans="1:26" s="29" customFormat="1" outlineLevel="1" collapsed="1" x14ac:dyDescent="0.3">
      <c r="A49" s="28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SUM(OSRRefD22_9x_0)</f>
        <v>46.21</v>
      </c>
      <c r="E49" s="1"/>
      <c r="F49" s="5">
        <f t="shared" si="32"/>
        <v>0</v>
      </c>
      <c r="G49" s="1"/>
      <c r="H49" s="1">
        <f>SUM(OSRRefH22_9x_0)</f>
        <v>0</v>
      </c>
      <c r="I49" s="1"/>
      <c r="J49" s="5">
        <f t="shared" si="33"/>
        <v>0</v>
      </c>
      <c r="K49" s="1"/>
      <c r="L49" s="1">
        <f t="shared" si="34"/>
        <v>46.21</v>
      </c>
      <c r="M49" s="1"/>
      <c r="N49" s="5">
        <f t="shared" si="35"/>
        <v>0</v>
      </c>
      <c r="O49" s="14"/>
      <c r="P49" s="1">
        <f>SUM(OSRRefP22_9x_0)</f>
        <v>1656.46</v>
      </c>
      <c r="Q49" s="1"/>
      <c r="R49" s="5">
        <f t="shared" si="36"/>
        <v>0</v>
      </c>
      <c r="S49" s="1"/>
      <c r="T49" s="1">
        <f>SUM(OSRRefT22_9x_0)</f>
        <v>782.8900000000001</v>
      </c>
      <c r="U49" s="1"/>
      <c r="V49" s="5">
        <f t="shared" si="37"/>
        <v>0</v>
      </c>
      <c r="W49" s="1"/>
      <c r="X49" s="1">
        <f t="shared" si="38"/>
        <v>873.56999999999994</v>
      </c>
      <c r="Y49" s="1"/>
      <c r="Z49" s="5">
        <f t="shared" si="39"/>
        <v>1.1158272554254107</v>
      </c>
    </row>
    <row r="50" spans="1:26" s="24" customFormat="1" hidden="1" outlineLevel="2" x14ac:dyDescent="0.3">
      <c r="A50" s="27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0</v>
      </c>
      <c r="M50" s="2"/>
      <c r="N50" s="6">
        <f t="shared" si="35"/>
        <v>0</v>
      </c>
      <c r="O50" s="11"/>
      <c r="P50" s="7"/>
      <c r="Q50" s="2"/>
      <c r="R50" s="6">
        <f t="shared" si="36"/>
        <v>0</v>
      </c>
      <c r="S50" s="2"/>
      <c r="T50" s="7">
        <v>426.66</v>
      </c>
      <c r="U50" s="2"/>
      <c r="V50" s="6">
        <f t="shared" si="37"/>
        <v>0</v>
      </c>
      <c r="W50" s="2"/>
      <c r="X50" s="7">
        <f t="shared" si="38"/>
        <v>-426.66</v>
      </c>
      <c r="Y50" s="2"/>
      <c r="Z50" s="6">
        <f t="shared" si="39"/>
        <v>-1</v>
      </c>
    </row>
    <row r="51" spans="1:26" s="24" customFormat="1" hidden="1" outlineLevel="2" x14ac:dyDescent="0.3">
      <c r="A51" s="27"/>
      <c r="B51" s="11" t="str">
        <f>CONCATENATE("          ", "6241", " - ", "OFFICE EXPENSE")</f>
        <v xml:space="preserve">          6241 - OFFICE EXPENSE</v>
      </c>
      <c r="C51" s="11"/>
      <c r="D51" s="7">
        <v>46.21</v>
      </c>
      <c r="E51" s="2"/>
      <c r="F51" s="6">
        <f t="shared" si="32"/>
        <v>0</v>
      </c>
      <c r="G51" s="2"/>
      <c r="H51" s="7"/>
      <c r="I51" s="2"/>
      <c r="J51" s="6">
        <f t="shared" si="33"/>
        <v>0</v>
      </c>
      <c r="K51" s="2"/>
      <c r="L51" s="7">
        <f t="shared" si="34"/>
        <v>46.21</v>
      </c>
      <c r="M51" s="2"/>
      <c r="N51" s="6">
        <f t="shared" si="35"/>
        <v>0</v>
      </c>
      <c r="O51" s="11"/>
      <c r="P51" s="7">
        <v>1656.46</v>
      </c>
      <c r="Q51" s="2"/>
      <c r="R51" s="6">
        <f t="shared" si="36"/>
        <v>0</v>
      </c>
      <c r="S51" s="2"/>
      <c r="T51" s="7">
        <v>356.23</v>
      </c>
      <c r="U51" s="2"/>
      <c r="V51" s="6">
        <f t="shared" si="37"/>
        <v>0</v>
      </c>
      <c r="W51" s="2"/>
      <c r="X51" s="7">
        <f t="shared" si="38"/>
        <v>1300.23</v>
      </c>
      <c r="Y51" s="2"/>
      <c r="Z51" s="6">
        <f t="shared" si="39"/>
        <v>3.6499733318361733</v>
      </c>
    </row>
    <row r="52" spans="1:26" s="29" customFormat="1" outlineLevel="1" collapsed="1" x14ac:dyDescent="0.3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SUM(OSRRefD22_10x_0)</f>
        <v>422.8</v>
      </c>
      <c r="E52" s="1"/>
      <c r="F52" s="5">
        <f t="shared" ref="F52:F57" si="40">IF(D$12=0,0,D52/D$12)</f>
        <v>0</v>
      </c>
      <c r="G52" s="1"/>
      <c r="H52" s="1">
        <f>SUM(OSRRefH22_10x_0)</f>
        <v>358.11</v>
      </c>
      <c r="I52" s="1"/>
      <c r="J52" s="5">
        <f t="shared" ref="J52:J57" si="41">IF(H$12=0,0,H52/H$12)</f>
        <v>0</v>
      </c>
      <c r="K52" s="1"/>
      <c r="L52" s="1">
        <f t="shared" ref="L52:L57" si="42">+D52-H52</f>
        <v>64.69</v>
      </c>
      <c r="M52" s="1"/>
      <c r="N52" s="5">
        <f t="shared" ref="N52:N57" si="43">IF(H52=0,0,L52/H52)</f>
        <v>0.18064281924548323</v>
      </c>
      <c r="O52" s="14"/>
      <c r="P52" s="1">
        <f>SUM(OSRRefP22_10x_0)</f>
        <v>2980.65</v>
      </c>
      <c r="Q52" s="1"/>
      <c r="R52" s="5">
        <f t="shared" ref="R52:R57" si="44">IF(P$12=0,0,P52/P$12)</f>
        <v>0</v>
      </c>
      <c r="S52" s="1"/>
      <c r="T52" s="1">
        <f>SUM(OSRRefT22_10x_0)</f>
        <v>2878.16</v>
      </c>
      <c r="U52" s="1"/>
      <c r="V52" s="5">
        <f t="shared" ref="V52:V57" si="45">IF(T$12=0,0,T52/T$12)</f>
        <v>0</v>
      </c>
      <c r="W52" s="1"/>
      <c r="X52" s="1">
        <f t="shared" ref="X52:X57" si="46">+P52-T52</f>
        <v>102.49000000000024</v>
      </c>
      <c r="Y52" s="1"/>
      <c r="Z52" s="5">
        <f t="shared" ref="Z52:Z57" si="47">IF(T52=0,0,X52/T52)</f>
        <v>3.5609556105289576E-2</v>
      </c>
    </row>
    <row r="53" spans="1:26" s="24" customFormat="1" hidden="1" outlineLevel="2" x14ac:dyDescent="0.3">
      <c r="A53" s="27"/>
      <c r="B53" s="11" t="str">
        <f>CONCATENATE("          ", "6309", " - ", "TELEPHONE")</f>
        <v xml:space="preserve">          6309 - TELEPHONE</v>
      </c>
      <c r="C53" s="11"/>
      <c r="D53" s="7">
        <v>422.8</v>
      </c>
      <c r="E53" s="2"/>
      <c r="F53" s="6">
        <f t="shared" si="40"/>
        <v>0</v>
      </c>
      <c r="G53" s="2"/>
      <c r="H53" s="7">
        <v>358.11</v>
      </c>
      <c r="I53" s="2"/>
      <c r="J53" s="6">
        <f t="shared" si="41"/>
        <v>0</v>
      </c>
      <c r="K53" s="2"/>
      <c r="L53" s="7">
        <f t="shared" si="42"/>
        <v>64.69</v>
      </c>
      <c r="M53" s="2"/>
      <c r="N53" s="6">
        <f t="shared" si="43"/>
        <v>0.18064281924548323</v>
      </c>
      <c r="O53" s="11"/>
      <c r="P53" s="7">
        <v>2980.65</v>
      </c>
      <c r="Q53" s="2"/>
      <c r="R53" s="6">
        <f t="shared" si="44"/>
        <v>0</v>
      </c>
      <c r="S53" s="2"/>
      <c r="T53" s="7">
        <v>2878.16</v>
      </c>
      <c r="U53" s="2"/>
      <c r="V53" s="6">
        <f t="shared" si="45"/>
        <v>0</v>
      </c>
      <c r="W53" s="2"/>
      <c r="X53" s="7">
        <f t="shared" si="46"/>
        <v>102.49000000000024</v>
      </c>
      <c r="Y53" s="2"/>
      <c r="Z53" s="6">
        <f t="shared" si="47"/>
        <v>3.5609556105289576E-2</v>
      </c>
    </row>
    <row r="54" spans="1:26" s="29" customFormat="1" outlineLevel="1" collapsed="1" x14ac:dyDescent="0.3">
      <c r="A54" s="28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SUM(OSRRefD22_11x_0)</f>
        <v>0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0</v>
      </c>
      <c r="M54" s="1"/>
      <c r="N54" s="5">
        <f t="shared" si="43"/>
        <v>0</v>
      </c>
      <c r="O54" s="14"/>
      <c r="P54" s="1">
        <f>SUM(OSRRefP22_11x_0)</f>
        <v>595</v>
      </c>
      <c r="Q54" s="1"/>
      <c r="R54" s="5">
        <f t="shared" si="44"/>
        <v>0</v>
      </c>
      <c r="S54" s="1"/>
      <c r="T54" s="1">
        <f>SUM(OSRRefT22_11x_0)</f>
        <v>548</v>
      </c>
      <c r="U54" s="1"/>
      <c r="V54" s="5">
        <f t="shared" si="45"/>
        <v>0</v>
      </c>
      <c r="W54" s="1"/>
      <c r="X54" s="1">
        <f t="shared" si="46"/>
        <v>47</v>
      </c>
      <c r="Y54" s="1"/>
      <c r="Z54" s="5">
        <f t="shared" si="47"/>
        <v>8.576642335766424E-2</v>
      </c>
    </row>
    <row r="55" spans="1:26" s="24" customFormat="1" hidden="1" outlineLevel="2" x14ac:dyDescent="0.3">
      <c r="A55" s="27"/>
      <c r="B55" s="11" t="str">
        <f>CONCATENATE("          ", "6376", " - ", "TRAINING")</f>
        <v xml:space="preserve">          6376 - TRAINING</v>
      </c>
      <c r="C55" s="11"/>
      <c r="D55" s="7"/>
      <c r="E55" s="2"/>
      <c r="F55" s="6">
        <f t="shared" si="40"/>
        <v>0</v>
      </c>
      <c r="G55" s="2"/>
      <c r="H55" s="7"/>
      <c r="I55" s="2"/>
      <c r="J55" s="6">
        <f t="shared" si="41"/>
        <v>0</v>
      </c>
      <c r="K55" s="2"/>
      <c r="L55" s="7">
        <f t="shared" si="42"/>
        <v>0</v>
      </c>
      <c r="M55" s="2"/>
      <c r="N55" s="6">
        <f t="shared" si="43"/>
        <v>0</v>
      </c>
      <c r="O55" s="11"/>
      <c r="P55" s="7">
        <v>595</v>
      </c>
      <c r="Q55" s="2"/>
      <c r="R55" s="6">
        <f t="shared" si="44"/>
        <v>0</v>
      </c>
      <c r="S55" s="2"/>
      <c r="T55" s="7">
        <v>548</v>
      </c>
      <c r="U55" s="2"/>
      <c r="V55" s="6">
        <f t="shared" si="45"/>
        <v>0</v>
      </c>
      <c r="W55" s="2"/>
      <c r="X55" s="7">
        <f t="shared" si="46"/>
        <v>47</v>
      </c>
      <c r="Y55" s="2"/>
      <c r="Z55" s="6">
        <f t="shared" si="47"/>
        <v>8.576642335766424E-2</v>
      </c>
    </row>
    <row r="56" spans="1:26" s="29" customFormat="1" outlineLevel="1" collapsed="1" x14ac:dyDescent="0.3">
      <c r="A56" s="28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SUM(OSRRefD22_12x_0)</f>
        <v>0</v>
      </c>
      <c r="E56" s="1"/>
      <c r="F56" s="5">
        <f t="shared" si="40"/>
        <v>0</v>
      </c>
      <c r="G56" s="1"/>
      <c r="H56" s="1">
        <f>SUM(OSRRefH22_12x_0)</f>
        <v>21.2</v>
      </c>
      <c r="I56" s="1"/>
      <c r="J56" s="5">
        <f t="shared" si="41"/>
        <v>0</v>
      </c>
      <c r="K56" s="1"/>
      <c r="L56" s="1">
        <f t="shared" si="42"/>
        <v>-21.2</v>
      </c>
      <c r="M56" s="1"/>
      <c r="N56" s="5">
        <f t="shared" si="43"/>
        <v>-1</v>
      </c>
      <c r="O56" s="14"/>
      <c r="P56" s="1">
        <f>SUM(OSRRefP22_12x_0)</f>
        <v>30.4</v>
      </c>
      <c r="Q56" s="1"/>
      <c r="R56" s="5">
        <f t="shared" si="44"/>
        <v>0</v>
      </c>
      <c r="S56" s="1"/>
      <c r="T56" s="1">
        <f>SUM(OSRRefT22_12x_0)</f>
        <v>67.819999999999993</v>
      </c>
      <c r="U56" s="1"/>
      <c r="V56" s="5">
        <f t="shared" si="45"/>
        <v>0</v>
      </c>
      <c r="W56" s="1"/>
      <c r="X56" s="1">
        <f t="shared" si="46"/>
        <v>-37.419999999999995</v>
      </c>
      <c r="Y56" s="1"/>
      <c r="Z56" s="5">
        <f t="shared" si="47"/>
        <v>-0.5517546446475966</v>
      </c>
    </row>
    <row r="57" spans="1:26" s="24" customFormat="1" hidden="1" outlineLevel="2" x14ac:dyDescent="0.3">
      <c r="A57" s="27"/>
      <c r="B57" s="11" t="str">
        <f>CONCATENATE("          ", "6294", " - ", "TRAVEL OPERATIONAL")</f>
        <v xml:space="preserve">          6294 - TRAVEL OPERATIONAL</v>
      </c>
      <c r="C57" s="11"/>
      <c r="D57" s="7"/>
      <c r="E57" s="2"/>
      <c r="F57" s="6">
        <f t="shared" si="40"/>
        <v>0</v>
      </c>
      <c r="G57" s="2"/>
      <c r="H57" s="7">
        <v>21.2</v>
      </c>
      <c r="I57" s="2"/>
      <c r="J57" s="6">
        <f t="shared" si="41"/>
        <v>0</v>
      </c>
      <c r="K57" s="2"/>
      <c r="L57" s="7">
        <f t="shared" si="42"/>
        <v>-21.2</v>
      </c>
      <c r="M57" s="2"/>
      <c r="N57" s="6">
        <f t="shared" si="43"/>
        <v>-1</v>
      </c>
      <c r="O57" s="11"/>
      <c r="P57" s="7">
        <v>30.4</v>
      </c>
      <c r="Q57" s="2"/>
      <c r="R57" s="6">
        <f t="shared" si="44"/>
        <v>0</v>
      </c>
      <c r="S57" s="2"/>
      <c r="T57" s="7">
        <v>67.819999999999993</v>
      </c>
      <c r="U57" s="2"/>
      <c r="V57" s="6">
        <f t="shared" si="45"/>
        <v>0</v>
      </c>
      <c r="W57" s="2"/>
      <c r="X57" s="7">
        <f t="shared" si="46"/>
        <v>-37.419999999999995</v>
      </c>
      <c r="Y57" s="2"/>
      <c r="Z57" s="6">
        <f t="shared" si="47"/>
        <v>-0.5517546446475966</v>
      </c>
    </row>
    <row r="58" spans="1:26" s="52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6" t="s">
        <v>292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10"/>
      <c r="B61" s="25" t="s">
        <v>276</v>
      </c>
      <c r="C61" s="25"/>
      <c r="D61" s="21">
        <f>+D16-D18+D59</f>
        <v>-51286.95</v>
      </c>
      <c r="E61" s="13"/>
      <c r="F61" s="22">
        <f>IF(D$12=0,0,D61/D$12)</f>
        <v>0</v>
      </c>
      <c r="G61" s="13"/>
      <c r="H61" s="21">
        <f>+H16-H18+H59</f>
        <v>-46973.339999999989</v>
      </c>
      <c r="I61" s="13"/>
      <c r="J61" s="22">
        <f>IF(H$12=0,0,H61/H$12)</f>
        <v>0</v>
      </c>
      <c r="K61" s="15"/>
      <c r="L61" s="21">
        <f>+D61-H61</f>
        <v>-4313.6100000000079</v>
      </c>
      <c r="M61" s="15"/>
      <c r="N61" s="22">
        <f>IF(H61=0,0,L61/H61)</f>
        <v>9.1831025854240064E-2</v>
      </c>
      <c r="O61" s="26"/>
      <c r="P61" s="21">
        <f>+P16-P18+P59</f>
        <v>-294335.84000000008</v>
      </c>
      <c r="Q61" s="13"/>
      <c r="R61" s="22">
        <f>IF(P$12=0,0,P61/P$12)</f>
        <v>0</v>
      </c>
      <c r="S61" s="13"/>
      <c r="T61" s="21">
        <f>+T16-T18+T59</f>
        <v>-271970.68999999994</v>
      </c>
      <c r="U61" s="13"/>
      <c r="V61" s="22">
        <f>IF(T$12=0,0,T61/T$12)</f>
        <v>0</v>
      </c>
      <c r="W61" s="15"/>
      <c r="X61" s="21">
        <f>+P61-T61</f>
        <v>-22365.15000000014</v>
      </c>
      <c r="Y61" s="15"/>
      <c r="Z61" s="22">
        <f>IF(T61=0,0,X61/T61)</f>
        <v>8.2233677459876808E-2</v>
      </c>
    </row>
    <row r="62" spans="1:26" x14ac:dyDescent="0.3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51"/>
      <c r="B63" s="10" t="s">
        <v>127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5" t="s">
        <v>125</v>
      </c>
      <c r="C65" s="25"/>
      <c r="D65" s="36">
        <f>+D61-D63</f>
        <v>-51286.95</v>
      </c>
      <c r="E65" s="13"/>
      <c r="F65" s="31">
        <f>IF(D$12=0,0,D65/D$12)</f>
        <v>0</v>
      </c>
      <c r="G65" s="13"/>
      <c r="H65" s="36">
        <f>+H61-H63</f>
        <v>-46973.339999999989</v>
      </c>
      <c r="I65" s="13"/>
      <c r="J65" s="31">
        <f>IF(H$12=0,0,H65/H$12)</f>
        <v>0</v>
      </c>
      <c r="K65" s="15"/>
      <c r="L65" s="36">
        <f>D65-H65</f>
        <v>-4313.6100000000079</v>
      </c>
      <c r="M65" s="15"/>
      <c r="N65" s="31">
        <f>IF(H65=0,0,L65/H65)</f>
        <v>9.1831025854240064E-2</v>
      </c>
      <c r="O65" s="26"/>
      <c r="P65" s="36">
        <f>+P61-P63</f>
        <v>-294335.84000000008</v>
      </c>
      <c r="Q65" s="13"/>
      <c r="R65" s="31">
        <f>IF(P$12=0,0,P65/P$12)</f>
        <v>0</v>
      </c>
      <c r="S65" s="13"/>
      <c r="T65" s="36">
        <f>+T61-T63</f>
        <v>-271970.68999999994</v>
      </c>
      <c r="U65" s="13"/>
      <c r="V65" s="31">
        <f>IF(T$12=0,0,T65/T$12)</f>
        <v>0</v>
      </c>
      <c r="W65" s="15"/>
      <c r="X65" s="36">
        <f>P65-T65</f>
        <v>-22365.15000000014</v>
      </c>
      <c r="Y65" s="15"/>
      <c r="Z65" s="31">
        <f>IF(T65=0,0,X65/T65)</f>
        <v>8.2233677459876808E-2</v>
      </c>
    </row>
    <row r="66" spans="1:26" ht="15" thickTop="1" x14ac:dyDescent="0.3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" thickBot="1" x14ac:dyDescent="0.35">
      <c r="A68" s="10"/>
      <c r="B68" s="25" t="s">
        <v>293</v>
      </c>
      <c r="C68" s="25"/>
      <c r="D68" s="35">
        <f>SUM(D65:D67)</f>
        <v>-51286.95</v>
      </c>
      <c r="E68" s="13"/>
      <c r="F68" s="32">
        <f>IF(D$12=0,0,D68/D$12)</f>
        <v>0</v>
      </c>
      <c r="G68" s="13"/>
      <c r="H68" s="35">
        <f>SUM(H65:H67)</f>
        <v>-46973.339999999989</v>
      </c>
      <c r="I68" s="13"/>
      <c r="J68" s="32">
        <f>IF(H$12=0,0,H68/H$12)</f>
        <v>0</v>
      </c>
      <c r="K68" s="15"/>
      <c r="L68" s="35">
        <f>+D68-H68</f>
        <v>-4313.6100000000079</v>
      </c>
      <c r="M68" s="15"/>
      <c r="N68" s="32">
        <f>IF(H68=0,0,L68/H68)</f>
        <v>9.1831025854240064E-2</v>
      </c>
      <c r="O68" s="26"/>
      <c r="P68" s="35">
        <f>SUM(P65:P67)</f>
        <v>-294335.84000000008</v>
      </c>
      <c r="Q68" s="13"/>
      <c r="R68" s="32">
        <f>IF(P$12=0,0,P68/P$12)</f>
        <v>0</v>
      </c>
      <c r="S68" s="13"/>
      <c r="T68" s="35">
        <f>SUM(T65:T67)</f>
        <v>-271970.68999999994</v>
      </c>
      <c r="U68" s="13"/>
      <c r="V68" s="32">
        <f>IF(T$12=0,0,T68/T$12)</f>
        <v>0</v>
      </c>
      <c r="W68" s="15"/>
      <c r="X68" s="35">
        <f>+P68-T68</f>
        <v>-22365.15000000014</v>
      </c>
      <c r="Y68" s="15"/>
      <c r="Z68" s="32">
        <f>IF(T68=0,0,X68/T68)</f>
        <v>8.2233677459876808E-2</v>
      </c>
    </row>
    <row r="69" spans="1:26" ht="15" thickTop="1" x14ac:dyDescent="0.3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A70" s="9"/>
      <c r="B70" s="54">
        <v>44604.028475694446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A71" s="9"/>
      <c r="B71" s="53" t="s">
        <v>56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9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","203", " - ", "Human Resources")</f>
        <v>Department 203 - Human Resources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65576.820000000007</v>
      </c>
      <c r="E18" s="20"/>
      <c r="F18" s="30">
        <f t="shared" ref="F18:F29" si="0">IF(D$12=0,0,D18/D$12)</f>
        <v>0</v>
      </c>
      <c r="G18" s="20"/>
      <c r="H18" s="20">
        <f>SUM(OSRRefH22x_0)</f>
        <v>51218.010000000009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14358.809999999998</v>
      </c>
      <c r="M18" s="4"/>
      <c r="N18" s="30">
        <f t="shared" ref="N18:N29" si="3">IF(H18=0,0,L18/H18)</f>
        <v>0.28034689360246512</v>
      </c>
      <c r="O18" s="10"/>
      <c r="P18" s="20">
        <f>SUM(OSRRefP22x_0)</f>
        <v>385311.72000000003</v>
      </c>
      <c r="Q18" s="20"/>
      <c r="R18" s="30">
        <f t="shared" ref="R18:R29" si="4">IF(P$12=0,0,P18/P$12)</f>
        <v>0</v>
      </c>
      <c r="S18" s="20"/>
      <c r="T18" s="20">
        <f>SUM(OSRRefT22x_0)</f>
        <v>322847.12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62464.600000000035</v>
      </c>
      <c r="Y18" s="4"/>
      <c r="Z18" s="30">
        <f t="shared" ref="Z18:Z29" si="7">IF(T18=0,0,X18/T18)</f>
        <v>0.19348043123321043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20905.59</v>
      </c>
      <c r="E19" s="1"/>
      <c r="F19" s="5">
        <f t="shared" si="0"/>
        <v>0</v>
      </c>
      <c r="G19" s="1"/>
      <c r="H19" s="1">
        <f>SUM(OSRRefH22_0x_0)</f>
        <v>11558.580000000002</v>
      </c>
      <c r="I19" s="1"/>
      <c r="J19" s="5">
        <f t="shared" si="1"/>
        <v>0</v>
      </c>
      <c r="K19" s="1"/>
      <c r="L19" s="1">
        <f t="shared" si="2"/>
        <v>9347.0099999999984</v>
      </c>
      <c r="M19" s="1"/>
      <c r="N19" s="5">
        <f t="shared" si="3"/>
        <v>0.80866421307807679</v>
      </c>
      <c r="O19" s="14"/>
      <c r="P19" s="1">
        <f>SUM(OSRRefP22_0x_0)</f>
        <v>108992.53000000001</v>
      </c>
      <c r="Q19" s="1"/>
      <c r="R19" s="5">
        <f t="shared" si="4"/>
        <v>0</v>
      </c>
      <c r="S19" s="1"/>
      <c r="T19" s="1">
        <f>SUM(OSRRefT22_0x_0)</f>
        <v>87533.17</v>
      </c>
      <c r="U19" s="1"/>
      <c r="V19" s="5">
        <f t="shared" si="5"/>
        <v>0</v>
      </c>
      <c r="W19" s="1"/>
      <c r="X19" s="1">
        <f t="shared" si="6"/>
        <v>21459.360000000015</v>
      </c>
      <c r="Y19" s="1"/>
      <c r="Z19" s="5">
        <f t="shared" si="7"/>
        <v>0.24515689309549757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2328.75</v>
      </c>
      <c r="E20" s="2"/>
      <c r="F20" s="6">
        <f t="shared" si="0"/>
        <v>0</v>
      </c>
      <c r="G20" s="2"/>
      <c r="H20" s="7">
        <v>1887.9</v>
      </c>
      <c r="I20" s="2"/>
      <c r="J20" s="6">
        <f t="shared" si="1"/>
        <v>0</v>
      </c>
      <c r="K20" s="2"/>
      <c r="L20" s="7">
        <f t="shared" si="2"/>
        <v>440.84999999999991</v>
      </c>
      <c r="M20" s="2"/>
      <c r="N20" s="6">
        <f t="shared" si="3"/>
        <v>0.23351342761798818</v>
      </c>
      <c r="O20" s="11"/>
      <c r="P20" s="7">
        <v>16367.73</v>
      </c>
      <c r="Q20" s="2"/>
      <c r="R20" s="6">
        <f t="shared" si="4"/>
        <v>0</v>
      </c>
      <c r="S20" s="2"/>
      <c r="T20" s="7">
        <v>15222.63</v>
      </c>
      <c r="U20" s="2"/>
      <c r="V20" s="6">
        <f t="shared" si="5"/>
        <v>0</v>
      </c>
      <c r="W20" s="2"/>
      <c r="X20" s="7">
        <f t="shared" si="6"/>
        <v>1145.1000000000004</v>
      </c>
      <c r="Y20" s="2"/>
      <c r="Z20" s="6">
        <f t="shared" si="7"/>
        <v>7.5223532333111978E-2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389.69</v>
      </c>
      <c r="E21" s="2"/>
      <c r="F21" s="6">
        <f t="shared" si="0"/>
        <v>0</v>
      </c>
      <c r="G21" s="2"/>
      <c r="H21" s="7">
        <v>3.44</v>
      </c>
      <c r="I21" s="2"/>
      <c r="J21" s="6">
        <f t="shared" si="1"/>
        <v>0</v>
      </c>
      <c r="K21" s="2"/>
      <c r="L21" s="7">
        <f t="shared" si="2"/>
        <v>386.25</v>
      </c>
      <c r="M21" s="2"/>
      <c r="N21" s="6">
        <f t="shared" si="3"/>
        <v>112.28197674418605</v>
      </c>
      <c r="O21" s="11"/>
      <c r="P21" s="7">
        <v>2740.4</v>
      </c>
      <c r="Q21" s="2"/>
      <c r="R21" s="6">
        <f t="shared" si="4"/>
        <v>0</v>
      </c>
      <c r="S21" s="2"/>
      <c r="T21" s="7">
        <v>664.22</v>
      </c>
      <c r="U21" s="2"/>
      <c r="V21" s="6">
        <f t="shared" si="5"/>
        <v>0</v>
      </c>
      <c r="W21" s="2"/>
      <c r="X21" s="7">
        <f t="shared" si="6"/>
        <v>2076.1800000000003</v>
      </c>
      <c r="Y21" s="2"/>
      <c r="Z21" s="6">
        <f t="shared" si="7"/>
        <v>3.1257414711993019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5574.36</v>
      </c>
      <c r="E22" s="2"/>
      <c r="F22" s="6">
        <f t="shared" si="0"/>
        <v>0</v>
      </c>
      <c r="G22" s="2"/>
      <c r="H22" s="7">
        <v>6028.29</v>
      </c>
      <c r="I22" s="2"/>
      <c r="J22" s="6">
        <f t="shared" si="1"/>
        <v>0</v>
      </c>
      <c r="K22" s="2"/>
      <c r="L22" s="7">
        <f t="shared" si="2"/>
        <v>-453.93000000000029</v>
      </c>
      <c r="M22" s="2"/>
      <c r="N22" s="6">
        <f t="shared" si="3"/>
        <v>-7.5299960685368539E-2</v>
      </c>
      <c r="O22" s="11"/>
      <c r="P22" s="7">
        <v>41901.75</v>
      </c>
      <c r="Q22" s="2"/>
      <c r="R22" s="6">
        <f t="shared" si="4"/>
        <v>0</v>
      </c>
      <c r="S22" s="2"/>
      <c r="T22" s="7">
        <v>42578.31</v>
      </c>
      <c r="U22" s="2"/>
      <c r="V22" s="6">
        <f t="shared" si="5"/>
        <v>0</v>
      </c>
      <c r="W22" s="2"/>
      <c r="X22" s="7">
        <f t="shared" si="6"/>
        <v>-676.55999999999767</v>
      </c>
      <c r="Y22" s="2"/>
      <c r="Z22" s="6">
        <f t="shared" si="7"/>
        <v>-1.5889780500916963E-2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78.540000000000006</v>
      </c>
      <c r="E23" s="2"/>
      <c r="F23" s="6">
        <f t="shared" si="0"/>
        <v>0</v>
      </c>
      <c r="G23" s="2"/>
      <c r="H23" s="7">
        <v>128.9</v>
      </c>
      <c r="I23" s="2"/>
      <c r="J23" s="6">
        <f t="shared" si="1"/>
        <v>0</v>
      </c>
      <c r="K23" s="2"/>
      <c r="L23" s="7">
        <f t="shared" si="2"/>
        <v>-50.36</v>
      </c>
      <c r="M23" s="2"/>
      <c r="N23" s="6">
        <f t="shared" si="3"/>
        <v>-0.39069045771916211</v>
      </c>
      <c r="O23" s="11"/>
      <c r="P23" s="7">
        <v>552.33000000000004</v>
      </c>
      <c r="Q23" s="2"/>
      <c r="R23" s="6">
        <f t="shared" si="4"/>
        <v>0</v>
      </c>
      <c r="S23" s="2"/>
      <c r="T23" s="7">
        <v>523.32000000000005</v>
      </c>
      <c r="U23" s="2"/>
      <c r="V23" s="6">
        <f t="shared" si="5"/>
        <v>0</v>
      </c>
      <c r="W23" s="2"/>
      <c r="X23" s="7">
        <f t="shared" si="6"/>
        <v>29.009999999999991</v>
      </c>
      <c r="Y23" s="2"/>
      <c r="Z23" s="6">
        <f t="shared" si="7"/>
        <v>5.5434533363907336E-2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1287.54</v>
      </c>
      <c r="E24" s="2"/>
      <c r="F24" s="6">
        <f t="shared" si="0"/>
        <v>0</v>
      </c>
      <c r="G24" s="2"/>
      <c r="H24" s="7">
        <v>1637.22</v>
      </c>
      <c r="I24" s="2"/>
      <c r="J24" s="6">
        <f t="shared" si="1"/>
        <v>0</v>
      </c>
      <c r="K24" s="2"/>
      <c r="L24" s="7">
        <f t="shared" si="2"/>
        <v>-349.68000000000006</v>
      </c>
      <c r="M24" s="2"/>
      <c r="N24" s="6">
        <f t="shared" si="3"/>
        <v>-0.21358155898413167</v>
      </c>
      <c r="O24" s="11"/>
      <c r="P24" s="7">
        <v>9433.7099999999991</v>
      </c>
      <c r="Q24" s="2"/>
      <c r="R24" s="6">
        <f t="shared" si="4"/>
        <v>0</v>
      </c>
      <c r="S24" s="2"/>
      <c r="T24" s="7">
        <v>10008.879999999999</v>
      </c>
      <c r="U24" s="2"/>
      <c r="V24" s="6">
        <f t="shared" si="5"/>
        <v>0</v>
      </c>
      <c r="W24" s="2"/>
      <c r="X24" s="7">
        <f t="shared" si="6"/>
        <v>-575.17000000000007</v>
      </c>
      <c r="Y24" s="2"/>
      <c r="Z24" s="6">
        <f t="shared" si="7"/>
        <v>-5.746597021844603E-2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2636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2636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4180.92</v>
      </c>
      <c r="E26" s="2"/>
      <c r="F26" s="6">
        <f t="shared" si="0"/>
        <v>0</v>
      </c>
      <c r="G26" s="2"/>
      <c r="H26" s="7">
        <v>486.03</v>
      </c>
      <c r="I26" s="2"/>
      <c r="J26" s="6">
        <f t="shared" si="1"/>
        <v>0</v>
      </c>
      <c r="K26" s="2"/>
      <c r="L26" s="7">
        <f t="shared" si="2"/>
        <v>3694.8900000000003</v>
      </c>
      <c r="M26" s="2"/>
      <c r="N26" s="6">
        <f t="shared" si="3"/>
        <v>7.6021850503055379</v>
      </c>
      <c r="O26" s="11"/>
      <c r="P26" s="7">
        <v>7962.28</v>
      </c>
      <c r="Q26" s="2"/>
      <c r="R26" s="6">
        <f t="shared" si="4"/>
        <v>0</v>
      </c>
      <c r="S26" s="2"/>
      <c r="T26" s="7">
        <v>4331.84</v>
      </c>
      <c r="U26" s="2"/>
      <c r="V26" s="6">
        <f t="shared" si="5"/>
        <v>0</v>
      </c>
      <c r="W26" s="2"/>
      <c r="X26" s="7">
        <f t="shared" si="6"/>
        <v>3630.4399999999996</v>
      </c>
      <c r="Y26" s="2"/>
      <c r="Z26" s="6">
        <f t="shared" si="7"/>
        <v>0.83808266233286532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3549.95</v>
      </c>
      <c r="E27" s="2"/>
      <c r="F27" s="6">
        <f t="shared" si="0"/>
        <v>0</v>
      </c>
      <c r="G27" s="2"/>
      <c r="H27" s="7">
        <v>478.68</v>
      </c>
      <c r="I27" s="2"/>
      <c r="J27" s="6">
        <f t="shared" si="1"/>
        <v>0</v>
      </c>
      <c r="K27" s="2"/>
      <c r="L27" s="7">
        <f t="shared" si="2"/>
        <v>3071.27</v>
      </c>
      <c r="M27" s="2"/>
      <c r="N27" s="6">
        <f t="shared" si="3"/>
        <v>6.4161235063090167</v>
      </c>
      <c r="O27" s="11"/>
      <c r="P27" s="7">
        <v>14852.5</v>
      </c>
      <c r="Q27" s="2"/>
      <c r="R27" s="6">
        <f t="shared" si="4"/>
        <v>0</v>
      </c>
      <c r="S27" s="2"/>
      <c r="T27" s="7">
        <v>7053.24</v>
      </c>
      <c r="U27" s="2"/>
      <c r="V27" s="6">
        <f t="shared" si="5"/>
        <v>0</v>
      </c>
      <c r="W27" s="2"/>
      <c r="X27" s="7">
        <f t="shared" si="6"/>
        <v>7799.26</v>
      </c>
      <c r="Y27" s="2"/>
      <c r="Z27" s="6">
        <f t="shared" si="7"/>
        <v>1.1057698306026735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3341.16</v>
      </c>
      <c r="E28" s="2"/>
      <c r="F28" s="6">
        <f t="shared" si="0"/>
        <v>0</v>
      </c>
      <c r="G28" s="2"/>
      <c r="H28" s="7">
        <v>908.12</v>
      </c>
      <c r="I28" s="2"/>
      <c r="J28" s="6">
        <f t="shared" si="1"/>
        <v>0</v>
      </c>
      <c r="K28" s="2"/>
      <c r="L28" s="7">
        <f t="shared" si="2"/>
        <v>2433.04</v>
      </c>
      <c r="M28" s="2"/>
      <c r="N28" s="6">
        <f t="shared" si="3"/>
        <v>2.6792053913579701</v>
      </c>
      <c r="O28" s="11"/>
      <c r="P28" s="7">
        <v>11103.28</v>
      </c>
      <c r="Q28" s="2"/>
      <c r="R28" s="6">
        <f t="shared" si="4"/>
        <v>0</v>
      </c>
      <c r="S28" s="2"/>
      <c r="T28" s="7">
        <v>6810.9</v>
      </c>
      <c r="U28" s="2"/>
      <c r="V28" s="6">
        <f t="shared" si="5"/>
        <v>0</v>
      </c>
      <c r="W28" s="2"/>
      <c r="X28" s="7">
        <f t="shared" si="6"/>
        <v>4292.380000000001</v>
      </c>
      <c r="Y28" s="2"/>
      <c r="Z28" s="6">
        <f t="shared" si="7"/>
        <v>0.63022214391636955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174.68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174.68</v>
      </c>
      <c r="M29" s="2"/>
      <c r="N29" s="6">
        <f t="shared" si="3"/>
        <v>0</v>
      </c>
      <c r="O29" s="11"/>
      <c r="P29" s="7">
        <v>1442.55</v>
      </c>
      <c r="Q29" s="2"/>
      <c r="R29" s="6">
        <f t="shared" si="4"/>
        <v>0</v>
      </c>
      <c r="S29" s="2"/>
      <c r="T29" s="7">
        <v>339.83</v>
      </c>
      <c r="U29" s="2"/>
      <c r="V29" s="6">
        <f t="shared" si="5"/>
        <v>0</v>
      </c>
      <c r="W29" s="2"/>
      <c r="X29" s="7">
        <f t="shared" si="6"/>
        <v>1102.72</v>
      </c>
      <c r="Y29" s="2"/>
      <c r="Z29" s="6">
        <f t="shared" si="7"/>
        <v>3.2449165759350267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36366.44</v>
      </c>
      <c r="E30" s="1"/>
      <c r="F30" s="5">
        <f t="shared" ref="F30:F35" si="8">IF(D$12=0,0,D30/D$12)</f>
        <v>0</v>
      </c>
      <c r="G30" s="1"/>
      <c r="H30" s="1">
        <f>SUM(OSRRefH22_1x_0)</f>
        <v>30878.41</v>
      </c>
      <c r="I30" s="1"/>
      <c r="J30" s="5">
        <f t="shared" ref="J30:J35" si="9">IF(H$12=0,0,H30/H$12)</f>
        <v>0</v>
      </c>
      <c r="K30" s="1"/>
      <c r="L30" s="1">
        <f t="shared" ref="L30:L35" si="10">+D30-H30</f>
        <v>5488.0300000000025</v>
      </c>
      <c r="M30" s="1"/>
      <c r="N30" s="5">
        <f t="shared" ref="N30:N35" si="11">IF(H30=0,0,L30/H30)</f>
        <v>0.17773033002670807</v>
      </c>
      <c r="O30" s="14"/>
      <c r="P30" s="1">
        <f>SUM(OSRRefP22_1x_0)</f>
        <v>206865.13999999998</v>
      </c>
      <c r="Q30" s="1"/>
      <c r="R30" s="5">
        <f t="shared" ref="R30:R35" si="12">IF(P$12=0,0,P30/P$12)</f>
        <v>0</v>
      </c>
      <c r="S30" s="1"/>
      <c r="T30" s="1">
        <f>SUM(OSRRefT22_1x_0)</f>
        <v>190551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16314.139999999985</v>
      </c>
      <c r="Y30" s="1"/>
      <c r="Z30" s="5">
        <f t="shared" ref="Z30:Z35" si="15">IF(T30=0,0,X30/T30)</f>
        <v>8.5615609469380821E-2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14793.04</v>
      </c>
      <c r="E31" s="2"/>
      <c r="F31" s="6">
        <f t="shared" si="8"/>
        <v>0</v>
      </c>
      <c r="G31" s="2"/>
      <c r="H31" s="7">
        <v>12443.68</v>
      </c>
      <c r="I31" s="2"/>
      <c r="J31" s="6">
        <f t="shared" si="9"/>
        <v>0</v>
      </c>
      <c r="K31" s="2"/>
      <c r="L31" s="7">
        <f t="shared" si="10"/>
        <v>2349.3600000000006</v>
      </c>
      <c r="M31" s="2"/>
      <c r="N31" s="6">
        <f t="shared" si="11"/>
        <v>0.18879945482365348</v>
      </c>
      <c r="O31" s="11"/>
      <c r="P31" s="7">
        <v>81518.8</v>
      </c>
      <c r="Q31" s="2"/>
      <c r="R31" s="6">
        <f t="shared" si="12"/>
        <v>0</v>
      </c>
      <c r="S31" s="2"/>
      <c r="T31" s="7">
        <v>73295.98</v>
      </c>
      <c r="U31" s="2"/>
      <c r="V31" s="6">
        <f t="shared" si="13"/>
        <v>0</v>
      </c>
      <c r="W31" s="2"/>
      <c r="X31" s="7">
        <f t="shared" si="14"/>
        <v>8222.820000000007</v>
      </c>
      <c r="Y31" s="2"/>
      <c r="Z31" s="6">
        <f t="shared" si="15"/>
        <v>0.11218650736370545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18.5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18.5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15273.15</v>
      </c>
      <c r="E33" s="2"/>
      <c r="F33" s="6">
        <f t="shared" si="8"/>
        <v>0</v>
      </c>
      <c r="G33" s="2"/>
      <c r="H33" s="7">
        <v>11166.98</v>
      </c>
      <c r="I33" s="2"/>
      <c r="J33" s="6">
        <f t="shared" si="9"/>
        <v>0</v>
      </c>
      <c r="K33" s="2"/>
      <c r="L33" s="7">
        <f t="shared" si="10"/>
        <v>4106.17</v>
      </c>
      <c r="M33" s="2"/>
      <c r="N33" s="6">
        <f t="shared" si="11"/>
        <v>0.36770639868612642</v>
      </c>
      <c r="O33" s="11"/>
      <c r="P33" s="7">
        <v>106805.43</v>
      </c>
      <c r="Q33" s="2"/>
      <c r="R33" s="6">
        <f t="shared" si="12"/>
        <v>0</v>
      </c>
      <c r="S33" s="2"/>
      <c r="T33" s="7">
        <v>73721.22</v>
      </c>
      <c r="U33" s="2"/>
      <c r="V33" s="6">
        <f t="shared" si="13"/>
        <v>0</v>
      </c>
      <c r="W33" s="2"/>
      <c r="X33" s="7">
        <f t="shared" si="14"/>
        <v>33084.209999999992</v>
      </c>
      <c r="Y33" s="2"/>
      <c r="Z33" s="6">
        <f t="shared" si="15"/>
        <v>0.44877458620462318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2005.25</v>
      </c>
      <c r="E34" s="2"/>
      <c r="F34" s="6">
        <f t="shared" si="8"/>
        <v>0</v>
      </c>
      <c r="G34" s="2"/>
      <c r="H34" s="7">
        <v>3541.75</v>
      </c>
      <c r="I34" s="2"/>
      <c r="J34" s="6">
        <f t="shared" si="9"/>
        <v>0</v>
      </c>
      <c r="K34" s="2"/>
      <c r="L34" s="7">
        <f t="shared" si="10"/>
        <v>-1536.5</v>
      </c>
      <c r="M34" s="2"/>
      <c r="N34" s="6">
        <f t="shared" si="11"/>
        <v>-0.43382508646855367</v>
      </c>
      <c r="O34" s="11"/>
      <c r="P34" s="7">
        <v>14227.41</v>
      </c>
      <c r="Q34" s="2"/>
      <c r="R34" s="6">
        <f t="shared" si="12"/>
        <v>0</v>
      </c>
      <c r="S34" s="2"/>
      <c r="T34" s="7">
        <v>39807.800000000003</v>
      </c>
      <c r="U34" s="2"/>
      <c r="V34" s="6">
        <f t="shared" si="13"/>
        <v>0</v>
      </c>
      <c r="W34" s="2"/>
      <c r="X34" s="7">
        <f t="shared" si="14"/>
        <v>-25580.390000000003</v>
      </c>
      <c r="Y34" s="2"/>
      <c r="Z34" s="6">
        <f t="shared" si="15"/>
        <v>-0.64259743065429387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>
        <v>4295</v>
      </c>
      <c r="E35" s="2"/>
      <c r="F35" s="6">
        <f t="shared" si="8"/>
        <v>0</v>
      </c>
      <c r="G35" s="2"/>
      <c r="H35" s="7">
        <v>3726</v>
      </c>
      <c r="I35" s="2"/>
      <c r="J35" s="6">
        <f t="shared" si="9"/>
        <v>0</v>
      </c>
      <c r="K35" s="2"/>
      <c r="L35" s="7">
        <f t="shared" si="10"/>
        <v>569</v>
      </c>
      <c r="M35" s="2"/>
      <c r="N35" s="6">
        <f t="shared" si="11"/>
        <v>0.15271068169618895</v>
      </c>
      <c r="O35" s="11"/>
      <c r="P35" s="7">
        <v>4295</v>
      </c>
      <c r="Q35" s="2"/>
      <c r="R35" s="6">
        <f t="shared" si="12"/>
        <v>0</v>
      </c>
      <c r="S35" s="2"/>
      <c r="T35" s="7">
        <v>3726</v>
      </c>
      <c r="U35" s="2"/>
      <c r="V35" s="6">
        <f t="shared" si="13"/>
        <v>0</v>
      </c>
      <c r="W35" s="2"/>
      <c r="X35" s="7">
        <f t="shared" si="14"/>
        <v>569</v>
      </c>
      <c r="Y35" s="2"/>
      <c r="Z35" s="6">
        <f t="shared" si="15"/>
        <v>0.15271068169618895</v>
      </c>
    </row>
    <row r="36" spans="1:26" s="29" customFormat="1" outlineLevel="1" collapsed="1" x14ac:dyDescent="0.3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8" si="16">IF(D$12=0,0,D36/D$12)</f>
        <v>0</v>
      </c>
      <c r="G36" s="1"/>
      <c r="H36" s="1">
        <f>SUM(OSRRefH22_2x_0)</f>
        <v>0</v>
      </c>
      <c r="I36" s="1"/>
      <c r="J36" s="5">
        <f t="shared" ref="J36:J48" si="17">IF(H$12=0,0,H36/H$12)</f>
        <v>0</v>
      </c>
      <c r="K36" s="1"/>
      <c r="L36" s="1">
        <f t="shared" ref="L36:L48" si="18">+D36-H36</f>
        <v>0</v>
      </c>
      <c r="M36" s="1"/>
      <c r="N36" s="5">
        <f t="shared" ref="N36:N48" si="19">IF(H36=0,0,L36/H36)</f>
        <v>0</v>
      </c>
      <c r="O36" s="14"/>
      <c r="P36" s="1">
        <f>SUM(OSRRefP22_2x_0)</f>
        <v>343.26</v>
      </c>
      <c r="Q36" s="1"/>
      <c r="R36" s="5">
        <f t="shared" ref="R36:R48" si="20">IF(P$12=0,0,P36/P$12)</f>
        <v>0</v>
      </c>
      <c r="S36" s="1"/>
      <c r="T36" s="1">
        <f>SUM(OSRRefT22_2x_0)</f>
        <v>0</v>
      </c>
      <c r="U36" s="1"/>
      <c r="V36" s="5">
        <f t="shared" ref="V36:V48" si="21">IF(T$12=0,0,T36/T$12)</f>
        <v>0</v>
      </c>
      <c r="W36" s="1"/>
      <c r="X36" s="1">
        <f t="shared" ref="X36:X48" si="22">+P36-T36</f>
        <v>343.26</v>
      </c>
      <c r="Y36" s="1"/>
      <c r="Z36" s="5">
        <f t="shared" ref="Z36:Z48" si="23">IF(T36=0,0,X36/T36)</f>
        <v>0</v>
      </c>
    </row>
    <row r="37" spans="1:26" s="24" customFormat="1" hidden="1" outlineLevel="2" x14ac:dyDescent="0.3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343.26</v>
      </c>
      <c r="Q37" s="2"/>
      <c r="R37" s="6">
        <f t="shared" si="20"/>
        <v>0</v>
      </c>
      <c r="S37" s="2"/>
      <c r="T37" s="7"/>
      <c r="U37" s="2"/>
      <c r="V37" s="6">
        <f t="shared" si="21"/>
        <v>0</v>
      </c>
      <c r="W37" s="2"/>
      <c r="X37" s="7">
        <f t="shared" si="22"/>
        <v>343.26</v>
      </c>
      <c r="Y37" s="2"/>
      <c r="Z37" s="6">
        <f t="shared" si="23"/>
        <v>0</v>
      </c>
    </row>
    <row r="38" spans="1:26" s="29" customFormat="1" outlineLevel="1" collapsed="1" x14ac:dyDescent="0.3">
      <c r="A38" s="28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81.56</v>
      </c>
      <c r="U38" s="1"/>
      <c r="V38" s="5">
        <f t="shared" si="21"/>
        <v>0</v>
      </c>
      <c r="W38" s="1"/>
      <c r="X38" s="1">
        <f t="shared" si="22"/>
        <v>-81.56</v>
      </c>
      <c r="Y38" s="1"/>
      <c r="Z38" s="5">
        <f t="shared" si="23"/>
        <v>-1</v>
      </c>
    </row>
    <row r="39" spans="1:26" s="24" customFormat="1" hidden="1" outlineLevel="2" x14ac:dyDescent="0.3">
      <c r="A39" s="27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81.56</v>
      </c>
      <c r="U39" s="2"/>
      <c r="V39" s="6">
        <f t="shared" si="21"/>
        <v>0</v>
      </c>
      <c r="W39" s="2"/>
      <c r="X39" s="7">
        <f t="shared" si="22"/>
        <v>-81.56</v>
      </c>
      <c r="Y39" s="2"/>
      <c r="Z39" s="6">
        <f t="shared" si="23"/>
        <v>-1</v>
      </c>
    </row>
    <row r="40" spans="1:26" s="29" customFormat="1" outlineLevel="1" collapsed="1" x14ac:dyDescent="0.3">
      <c r="A40" s="28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2.65</v>
      </c>
      <c r="E40" s="1"/>
      <c r="F40" s="5">
        <f t="shared" si="16"/>
        <v>0</v>
      </c>
      <c r="G40" s="1"/>
      <c r="H40" s="1">
        <f>SUM(OSRRefH22_4x_0)</f>
        <v>1</v>
      </c>
      <c r="I40" s="1"/>
      <c r="J40" s="5">
        <f t="shared" si="17"/>
        <v>0</v>
      </c>
      <c r="K40" s="1"/>
      <c r="L40" s="1">
        <f t="shared" si="18"/>
        <v>1.65</v>
      </c>
      <c r="M40" s="1"/>
      <c r="N40" s="5">
        <f t="shared" si="19"/>
        <v>1.65</v>
      </c>
      <c r="O40" s="14"/>
      <c r="P40" s="1">
        <f>SUM(OSRRefP22_4x_0)</f>
        <v>197.8</v>
      </c>
      <c r="Q40" s="1"/>
      <c r="R40" s="5">
        <f t="shared" si="20"/>
        <v>0</v>
      </c>
      <c r="S40" s="1"/>
      <c r="T40" s="1">
        <f>SUM(OSRRefT22_4x_0)</f>
        <v>106.55</v>
      </c>
      <c r="U40" s="1"/>
      <c r="V40" s="5">
        <f t="shared" si="21"/>
        <v>0</v>
      </c>
      <c r="W40" s="1"/>
      <c r="X40" s="1">
        <f t="shared" si="22"/>
        <v>91.250000000000014</v>
      </c>
      <c r="Y40" s="1"/>
      <c r="Z40" s="5">
        <f t="shared" si="23"/>
        <v>0.85640544345377767</v>
      </c>
    </row>
    <row r="41" spans="1:26" s="24" customFormat="1" hidden="1" outlineLevel="2" x14ac:dyDescent="0.3">
      <c r="A41" s="27"/>
      <c r="B41" s="11" t="str">
        <f>CONCATENATE("          ", "6307", " - ", "POSTAGE")</f>
        <v xml:space="preserve">          6307 - POSTAGE</v>
      </c>
      <c r="C41" s="11"/>
      <c r="D41" s="7">
        <v>2.65</v>
      </c>
      <c r="E41" s="2"/>
      <c r="F41" s="6">
        <f t="shared" si="16"/>
        <v>0</v>
      </c>
      <c r="G41" s="2"/>
      <c r="H41" s="7">
        <v>1</v>
      </c>
      <c r="I41" s="2"/>
      <c r="J41" s="6">
        <f t="shared" si="17"/>
        <v>0</v>
      </c>
      <c r="K41" s="2"/>
      <c r="L41" s="7">
        <f t="shared" si="18"/>
        <v>1.65</v>
      </c>
      <c r="M41" s="2"/>
      <c r="N41" s="6">
        <f t="shared" si="19"/>
        <v>1.65</v>
      </c>
      <c r="O41" s="11"/>
      <c r="P41" s="7">
        <v>197.8</v>
      </c>
      <c r="Q41" s="2"/>
      <c r="R41" s="6">
        <f t="shared" si="20"/>
        <v>0</v>
      </c>
      <c r="S41" s="2"/>
      <c r="T41" s="7">
        <v>106.55</v>
      </c>
      <c r="U41" s="2"/>
      <c r="V41" s="6">
        <f t="shared" si="21"/>
        <v>0</v>
      </c>
      <c r="W41" s="2"/>
      <c r="X41" s="7">
        <f t="shared" si="22"/>
        <v>91.250000000000014</v>
      </c>
      <c r="Y41" s="2"/>
      <c r="Z41" s="6">
        <f t="shared" si="23"/>
        <v>0.85640544345377767</v>
      </c>
    </row>
    <row r="42" spans="1:26" s="29" customFormat="1" outlineLevel="1" collapsed="1" x14ac:dyDescent="0.3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SUM(OSRRefD22_5x_0)</f>
        <v>53.5</v>
      </c>
      <c r="E42" s="1"/>
      <c r="F42" s="5">
        <f t="shared" si="16"/>
        <v>0</v>
      </c>
      <c r="G42" s="1"/>
      <c r="H42" s="1">
        <f>SUM(OSRRefH22_5x_0)</f>
        <v>500</v>
      </c>
      <c r="I42" s="1"/>
      <c r="J42" s="5">
        <f t="shared" si="17"/>
        <v>0</v>
      </c>
      <c r="K42" s="1"/>
      <c r="L42" s="1">
        <f t="shared" si="18"/>
        <v>-446.5</v>
      </c>
      <c r="M42" s="1"/>
      <c r="N42" s="5">
        <f t="shared" si="19"/>
        <v>-0.89300000000000002</v>
      </c>
      <c r="O42" s="14"/>
      <c r="P42" s="1">
        <f>SUM(OSRRefP22_5x_0)</f>
        <v>2733.75</v>
      </c>
      <c r="Q42" s="1"/>
      <c r="R42" s="5">
        <f t="shared" si="20"/>
        <v>0</v>
      </c>
      <c r="S42" s="1"/>
      <c r="T42" s="1">
        <f>SUM(OSRRefT22_5x_0)</f>
        <v>666.54</v>
      </c>
      <c r="U42" s="1"/>
      <c r="V42" s="5">
        <f t="shared" si="21"/>
        <v>0</v>
      </c>
      <c r="W42" s="1"/>
      <c r="X42" s="1">
        <f t="shared" si="22"/>
        <v>2067.21</v>
      </c>
      <c r="Y42" s="1"/>
      <c r="Z42" s="5">
        <f t="shared" si="23"/>
        <v>3.1014042668106945</v>
      </c>
    </row>
    <row r="43" spans="1:26" s="24" customFormat="1" hidden="1" outlineLevel="2" x14ac:dyDescent="0.3">
      <c r="A43" s="27"/>
      <c r="B43" s="11" t="str">
        <f>CONCATENATE("          ", "6279", " - ", "GENERAL EXPENSE")</f>
        <v xml:space="preserve">          6279 - GENERAL EXPENSE</v>
      </c>
      <c r="C43" s="11"/>
      <c r="D43" s="7">
        <v>53.5</v>
      </c>
      <c r="E43" s="2"/>
      <c r="F43" s="6">
        <f t="shared" si="16"/>
        <v>0</v>
      </c>
      <c r="G43" s="2"/>
      <c r="H43" s="7">
        <v>500</v>
      </c>
      <c r="I43" s="2"/>
      <c r="J43" s="6">
        <f t="shared" si="17"/>
        <v>0</v>
      </c>
      <c r="K43" s="2"/>
      <c r="L43" s="7">
        <f t="shared" si="18"/>
        <v>-446.5</v>
      </c>
      <c r="M43" s="2"/>
      <c r="N43" s="6">
        <f t="shared" si="19"/>
        <v>-0.89300000000000002</v>
      </c>
      <c r="O43" s="11"/>
      <c r="P43" s="7">
        <v>2733.75</v>
      </c>
      <c r="Q43" s="2"/>
      <c r="R43" s="6">
        <f t="shared" si="20"/>
        <v>0</v>
      </c>
      <c r="S43" s="2"/>
      <c r="T43" s="7">
        <v>666.54</v>
      </c>
      <c r="U43" s="2"/>
      <c r="V43" s="6">
        <f t="shared" si="21"/>
        <v>0</v>
      </c>
      <c r="W43" s="2"/>
      <c r="X43" s="7">
        <f t="shared" si="22"/>
        <v>2067.21</v>
      </c>
      <c r="Y43" s="2"/>
      <c r="Z43" s="6">
        <f t="shared" si="23"/>
        <v>3.1014042668106945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SUM(OSRRefD22_6x_0)</f>
        <v>88.99</v>
      </c>
      <c r="E44" s="1"/>
      <c r="F44" s="5">
        <f t="shared" si="16"/>
        <v>0</v>
      </c>
      <c r="G44" s="1"/>
      <c r="H44" s="1">
        <f>SUM(OSRRefH22_6x_0)</f>
        <v>65.47</v>
      </c>
      <c r="I44" s="1"/>
      <c r="J44" s="5">
        <f t="shared" si="17"/>
        <v>0</v>
      </c>
      <c r="K44" s="1"/>
      <c r="L44" s="1">
        <f t="shared" si="18"/>
        <v>23.519999999999996</v>
      </c>
      <c r="M44" s="1"/>
      <c r="N44" s="5">
        <f t="shared" si="19"/>
        <v>0.35924851076829079</v>
      </c>
      <c r="O44" s="14"/>
      <c r="P44" s="1">
        <f>SUM(OSRRefP22_6x_0)</f>
        <v>622.92999999999995</v>
      </c>
      <c r="Q44" s="1"/>
      <c r="R44" s="5">
        <f t="shared" si="20"/>
        <v>0</v>
      </c>
      <c r="S44" s="1"/>
      <c r="T44" s="1">
        <f>SUM(OSRRefT22_6x_0)</f>
        <v>458.29</v>
      </c>
      <c r="U44" s="1"/>
      <c r="V44" s="5">
        <f t="shared" si="21"/>
        <v>0</v>
      </c>
      <c r="W44" s="1"/>
      <c r="X44" s="1">
        <f t="shared" si="22"/>
        <v>164.63999999999993</v>
      </c>
      <c r="Y44" s="1"/>
      <c r="Z44" s="5">
        <f t="shared" si="23"/>
        <v>0.35924851076829067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88.99</v>
      </c>
      <c r="E45" s="2"/>
      <c r="F45" s="6">
        <f t="shared" si="16"/>
        <v>0</v>
      </c>
      <c r="G45" s="2"/>
      <c r="H45" s="7">
        <v>65.47</v>
      </c>
      <c r="I45" s="2"/>
      <c r="J45" s="6">
        <f t="shared" si="17"/>
        <v>0</v>
      </c>
      <c r="K45" s="2"/>
      <c r="L45" s="7">
        <f t="shared" si="18"/>
        <v>23.519999999999996</v>
      </c>
      <c r="M45" s="2"/>
      <c r="N45" s="6">
        <f t="shared" si="19"/>
        <v>0.35924851076829079</v>
      </c>
      <c r="O45" s="11"/>
      <c r="P45" s="7">
        <v>622.92999999999995</v>
      </c>
      <c r="Q45" s="2"/>
      <c r="R45" s="6">
        <f t="shared" si="20"/>
        <v>0</v>
      </c>
      <c r="S45" s="2"/>
      <c r="T45" s="7">
        <v>458.29</v>
      </c>
      <c r="U45" s="2"/>
      <c r="V45" s="6">
        <f t="shared" si="21"/>
        <v>0</v>
      </c>
      <c r="W45" s="2"/>
      <c r="X45" s="7">
        <f t="shared" si="22"/>
        <v>164.63999999999993</v>
      </c>
      <c r="Y45" s="2"/>
      <c r="Z45" s="6">
        <f t="shared" si="23"/>
        <v>0.35924851076829067</v>
      </c>
    </row>
    <row r="46" spans="1:26" s="29" customFormat="1" outlineLevel="1" collapsed="1" x14ac:dyDescent="0.3">
      <c r="A46" s="28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SUM(OSRRefD22_7x_0)</f>
        <v>251.1</v>
      </c>
      <c r="E46" s="1"/>
      <c r="F46" s="5">
        <f t="shared" si="16"/>
        <v>0</v>
      </c>
      <c r="G46" s="1"/>
      <c r="H46" s="1">
        <f>SUM(OSRRefH22_7x_0)</f>
        <v>3177.3</v>
      </c>
      <c r="I46" s="1"/>
      <c r="J46" s="5">
        <f t="shared" si="17"/>
        <v>0</v>
      </c>
      <c r="K46" s="1"/>
      <c r="L46" s="1">
        <f t="shared" si="18"/>
        <v>-2926.2000000000003</v>
      </c>
      <c r="M46" s="1"/>
      <c r="N46" s="5">
        <f t="shared" si="19"/>
        <v>-0.92097063544518931</v>
      </c>
      <c r="O46" s="14"/>
      <c r="P46" s="1">
        <f>SUM(OSRRefP22_7x_0)</f>
        <v>10558.68</v>
      </c>
      <c r="Q46" s="1"/>
      <c r="R46" s="5">
        <f t="shared" si="20"/>
        <v>0</v>
      </c>
      <c r="S46" s="1"/>
      <c r="T46" s="1">
        <f>SUM(OSRRefT22_7x_0)</f>
        <v>8819.880000000001</v>
      </c>
      <c r="U46" s="1"/>
      <c r="V46" s="5">
        <f t="shared" si="21"/>
        <v>0</v>
      </c>
      <c r="W46" s="1"/>
      <c r="X46" s="1">
        <f t="shared" si="22"/>
        <v>1738.7999999999993</v>
      </c>
      <c r="Y46" s="1"/>
      <c r="Z46" s="5">
        <f t="shared" si="23"/>
        <v>0.19714553939509372</v>
      </c>
    </row>
    <row r="47" spans="1:26" s="24" customFormat="1" hidden="1" outlineLevel="2" x14ac:dyDescent="0.3">
      <c r="A47" s="27"/>
      <c r="B47" s="11" t="str">
        <f>CONCATENATE("          ", "6334", " - ", "LEGAL COUNCIL EXPENSE")</f>
        <v xml:space="preserve">          6334 - LEGAL COUNCIL EXPENSE</v>
      </c>
      <c r="C47" s="11"/>
      <c r="D47" s="7"/>
      <c r="E47" s="2"/>
      <c r="F47" s="6">
        <f t="shared" si="16"/>
        <v>0</v>
      </c>
      <c r="G47" s="2"/>
      <c r="H47" s="7">
        <v>1225</v>
      </c>
      <c r="I47" s="2"/>
      <c r="J47" s="6">
        <f t="shared" si="17"/>
        <v>0</v>
      </c>
      <c r="K47" s="2"/>
      <c r="L47" s="7">
        <f t="shared" si="18"/>
        <v>-1225</v>
      </c>
      <c r="M47" s="2"/>
      <c r="N47" s="6">
        <f t="shared" si="19"/>
        <v>-1</v>
      </c>
      <c r="O47" s="11"/>
      <c r="P47" s="7">
        <v>3255</v>
      </c>
      <c r="Q47" s="2"/>
      <c r="R47" s="6">
        <f t="shared" si="20"/>
        <v>0</v>
      </c>
      <c r="S47" s="2"/>
      <c r="T47" s="7">
        <v>2450</v>
      </c>
      <c r="U47" s="2"/>
      <c r="V47" s="6">
        <f t="shared" si="21"/>
        <v>0</v>
      </c>
      <c r="W47" s="2"/>
      <c r="X47" s="7">
        <f t="shared" si="22"/>
        <v>805</v>
      </c>
      <c r="Y47" s="2"/>
      <c r="Z47" s="6">
        <f t="shared" si="23"/>
        <v>0.32857142857142857</v>
      </c>
    </row>
    <row r="48" spans="1:26" s="24" customFormat="1" hidden="1" outlineLevel="2" x14ac:dyDescent="0.3">
      <c r="A48" s="27"/>
      <c r="B48" s="11" t="str">
        <f>CONCATENATE("          ", "6336", " - ", "PROFESSIONAL SERVICES")</f>
        <v xml:space="preserve">          6336 - PROFESSIONAL SERVICES</v>
      </c>
      <c r="C48" s="11"/>
      <c r="D48" s="7">
        <v>251.1</v>
      </c>
      <c r="E48" s="2"/>
      <c r="F48" s="6">
        <f t="shared" si="16"/>
        <v>0</v>
      </c>
      <c r="G48" s="2"/>
      <c r="H48" s="7">
        <v>1952.3</v>
      </c>
      <c r="I48" s="2"/>
      <c r="J48" s="6">
        <f t="shared" si="17"/>
        <v>0</v>
      </c>
      <c r="K48" s="2"/>
      <c r="L48" s="7">
        <f t="shared" si="18"/>
        <v>-1701.2</v>
      </c>
      <c r="M48" s="2"/>
      <c r="N48" s="6">
        <f t="shared" si="19"/>
        <v>-0.87138247195615437</v>
      </c>
      <c r="O48" s="11"/>
      <c r="P48" s="7">
        <v>7303.68</v>
      </c>
      <c r="Q48" s="2"/>
      <c r="R48" s="6">
        <f t="shared" si="20"/>
        <v>0</v>
      </c>
      <c r="S48" s="2"/>
      <c r="T48" s="7">
        <v>6369.88</v>
      </c>
      <c r="U48" s="2"/>
      <c r="V48" s="6">
        <f t="shared" si="21"/>
        <v>0</v>
      </c>
      <c r="W48" s="2"/>
      <c r="X48" s="7">
        <f t="shared" si="22"/>
        <v>933.80000000000018</v>
      </c>
      <c r="Y48" s="2"/>
      <c r="Z48" s="6">
        <f t="shared" si="23"/>
        <v>0.14659616821666974</v>
      </c>
    </row>
    <row r="49" spans="1:26" s="29" customFormat="1" outlineLevel="1" collapsed="1" x14ac:dyDescent="0.3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7050.61</v>
      </c>
      <c r="E49" s="1"/>
      <c r="F49" s="5">
        <f t="shared" ref="F49:F51" si="24">IF(D$12=0,0,D49/D$12)</f>
        <v>0</v>
      </c>
      <c r="G49" s="1"/>
      <c r="H49" s="1">
        <f>SUM(OSRRefH22_8x_0)</f>
        <v>4075.7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2974.91</v>
      </c>
      <c r="M49" s="1"/>
      <c r="N49" s="5">
        <f t="shared" ref="N49:N51" si="27">IF(H49=0,0,L49/H49)</f>
        <v>0.72991387982432465</v>
      </c>
      <c r="O49" s="14"/>
      <c r="P49" s="1">
        <f>SUM(OSRRefP22_8x_0)</f>
        <v>41567.579999999994</v>
      </c>
      <c r="Q49" s="1"/>
      <c r="R49" s="5">
        <f t="shared" ref="R49:R51" si="28">IF(P$12=0,0,P49/P$12)</f>
        <v>0</v>
      </c>
      <c r="S49" s="1"/>
      <c r="T49" s="1">
        <f>SUM(OSRRefT22_8x_0)</f>
        <v>29015.29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12552.289999999994</v>
      </c>
      <c r="Y49" s="1"/>
      <c r="Z49" s="5">
        <f t="shared" ref="Z49:Z51" si="31">IF(T49=0,0,X49/T49)</f>
        <v>0.43260949657921716</v>
      </c>
    </row>
    <row r="50" spans="1:26" s="24" customFormat="1" hidden="1" outlineLevel="2" x14ac:dyDescent="0.3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7">
        <v>7050.61</v>
      </c>
      <c r="E50" s="2"/>
      <c r="F50" s="6">
        <f t="shared" si="24"/>
        <v>0</v>
      </c>
      <c r="G50" s="2"/>
      <c r="H50" s="7">
        <v>4075.7</v>
      </c>
      <c r="I50" s="2"/>
      <c r="J50" s="6">
        <f t="shared" si="25"/>
        <v>0</v>
      </c>
      <c r="K50" s="2"/>
      <c r="L50" s="7">
        <f t="shared" si="26"/>
        <v>2974.91</v>
      </c>
      <c r="M50" s="2"/>
      <c r="N50" s="6">
        <f t="shared" si="27"/>
        <v>0.72991387982432465</v>
      </c>
      <c r="O50" s="11"/>
      <c r="P50" s="7">
        <v>41269.24</v>
      </c>
      <c r="Q50" s="2"/>
      <c r="R50" s="6">
        <f t="shared" si="28"/>
        <v>0</v>
      </c>
      <c r="S50" s="2"/>
      <c r="T50" s="7">
        <v>28957.200000000001</v>
      </c>
      <c r="U50" s="2"/>
      <c r="V50" s="6">
        <f t="shared" si="29"/>
        <v>0</v>
      </c>
      <c r="W50" s="2"/>
      <c r="X50" s="7">
        <f t="shared" si="30"/>
        <v>12312.039999999997</v>
      </c>
      <c r="Y50" s="2"/>
      <c r="Z50" s="6">
        <f t="shared" si="31"/>
        <v>0.42518061138507857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298.33999999999997</v>
      </c>
      <c r="Q51" s="2"/>
      <c r="R51" s="6">
        <f t="shared" si="28"/>
        <v>0</v>
      </c>
      <c r="S51" s="2"/>
      <c r="T51" s="7">
        <v>58.09</v>
      </c>
      <c r="U51" s="2"/>
      <c r="V51" s="6">
        <f t="shared" si="29"/>
        <v>0</v>
      </c>
      <c r="W51" s="2"/>
      <c r="X51" s="7">
        <f t="shared" si="30"/>
        <v>240.24999999999997</v>
      </c>
      <c r="Y51" s="2"/>
      <c r="Z51" s="6">
        <f t="shared" si="31"/>
        <v>4.1358237218109819</v>
      </c>
    </row>
    <row r="52" spans="1:26" s="29" customFormat="1" outlineLevel="1" collapsed="1" x14ac:dyDescent="0.3">
      <c r="A52" s="28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SUM(OSRRefD22_9x_0)</f>
        <v>0</v>
      </c>
      <c r="E52" s="1"/>
      <c r="F52" s="5">
        <f t="shared" ref="F52:F58" si="32">IF(D$12=0,0,D52/D$12)</f>
        <v>0</v>
      </c>
      <c r="G52" s="1"/>
      <c r="H52" s="1">
        <f>SUM(OSRRefH22_9x_0)</f>
        <v>0</v>
      </c>
      <c r="I52" s="1"/>
      <c r="J52" s="5">
        <f t="shared" ref="J52:J58" si="33">IF(H$12=0,0,H52/H$12)</f>
        <v>0</v>
      </c>
      <c r="K52" s="1"/>
      <c r="L52" s="1">
        <f t="shared" ref="L52:L58" si="34">+D52-H52</f>
        <v>0</v>
      </c>
      <c r="M52" s="1"/>
      <c r="N52" s="5">
        <f t="shared" ref="N52:N58" si="35">IF(H52=0,0,L52/H52)</f>
        <v>0</v>
      </c>
      <c r="O52" s="14"/>
      <c r="P52" s="1">
        <f>SUM(OSRRefP22_9x_0)</f>
        <v>1452</v>
      </c>
      <c r="Q52" s="1"/>
      <c r="R52" s="5">
        <f t="shared" ref="R52:R58" si="36">IF(P$12=0,0,P52/P$12)</f>
        <v>0</v>
      </c>
      <c r="S52" s="1"/>
      <c r="T52" s="1">
        <f>SUM(OSRRefT22_9x_0)</f>
        <v>534.99</v>
      </c>
      <c r="U52" s="1"/>
      <c r="V52" s="5">
        <f t="shared" ref="V52:V58" si="37">IF(T$12=0,0,T52/T$12)</f>
        <v>0</v>
      </c>
      <c r="W52" s="1"/>
      <c r="X52" s="1">
        <f t="shared" ref="X52:X58" si="38">+P52-T52</f>
        <v>917.01</v>
      </c>
      <c r="Y52" s="1"/>
      <c r="Z52" s="5">
        <f t="shared" ref="Z52:Z58" si="39">IF(T52=0,0,X52/T52)</f>
        <v>1.7140694218583525</v>
      </c>
    </row>
    <row r="53" spans="1:26" s="24" customFormat="1" hidden="1" outlineLevel="2" x14ac:dyDescent="0.3">
      <c r="A53" s="27"/>
      <c r="B53" s="11" t="str">
        <f>CONCATENATE("          ", "6258", " - ", "MEMBERSHIP DUES")</f>
        <v xml:space="preserve">          6258 - MEMBERSHIP DUES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>
        <v>1452</v>
      </c>
      <c r="Q53" s="2"/>
      <c r="R53" s="6">
        <f t="shared" si="36"/>
        <v>0</v>
      </c>
      <c r="S53" s="2"/>
      <c r="T53" s="7">
        <v>534.99</v>
      </c>
      <c r="U53" s="2"/>
      <c r="V53" s="6">
        <f t="shared" si="37"/>
        <v>0</v>
      </c>
      <c r="W53" s="2"/>
      <c r="X53" s="7">
        <f t="shared" si="38"/>
        <v>917.01</v>
      </c>
      <c r="Y53" s="2"/>
      <c r="Z53" s="6">
        <f t="shared" si="39"/>
        <v>1.7140694218583525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SUM(OSRRefD22_10x_0)</f>
        <v>280.08999999999997</v>
      </c>
      <c r="E54" s="1"/>
      <c r="F54" s="5">
        <f t="shared" si="32"/>
        <v>0</v>
      </c>
      <c r="G54" s="1"/>
      <c r="H54" s="1">
        <f>SUM(OSRRefH22_10x_0)</f>
        <v>684</v>
      </c>
      <c r="I54" s="1"/>
      <c r="J54" s="5">
        <f t="shared" si="33"/>
        <v>0</v>
      </c>
      <c r="K54" s="1"/>
      <c r="L54" s="1">
        <f t="shared" si="34"/>
        <v>-403.91</v>
      </c>
      <c r="M54" s="1"/>
      <c r="N54" s="5">
        <f t="shared" si="35"/>
        <v>-0.59051169590643282</v>
      </c>
      <c r="O54" s="14"/>
      <c r="P54" s="1">
        <f>SUM(OSRRefP22_10x_0)</f>
        <v>8103.85</v>
      </c>
      <c r="Q54" s="1"/>
      <c r="R54" s="5">
        <f t="shared" si="36"/>
        <v>0</v>
      </c>
      <c r="S54" s="1"/>
      <c r="T54" s="1">
        <f>SUM(OSRRefT22_10x_0)</f>
        <v>2198.85</v>
      </c>
      <c r="U54" s="1"/>
      <c r="V54" s="5">
        <f t="shared" si="37"/>
        <v>0</v>
      </c>
      <c r="W54" s="1"/>
      <c r="X54" s="1">
        <f t="shared" si="38"/>
        <v>5905</v>
      </c>
      <c r="Y54" s="1"/>
      <c r="Z54" s="5">
        <f t="shared" si="39"/>
        <v>2.6854946904063488</v>
      </c>
    </row>
    <row r="55" spans="1:26" s="24" customFormat="1" hidden="1" outlineLevel="2" x14ac:dyDescent="0.3">
      <c r="A55" s="27"/>
      <c r="B55" s="11" t="str">
        <f>CONCATENATE("          ", "6235", " - ", "COVID-19 EXPENSES")</f>
        <v xml:space="preserve">          6235 - COVID-19 EXPENSES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2447.77</v>
      </c>
      <c r="Q55" s="2"/>
      <c r="R55" s="6">
        <f t="shared" si="36"/>
        <v>0</v>
      </c>
      <c r="S55" s="2"/>
      <c r="T55" s="7">
        <v>210.58</v>
      </c>
      <c r="U55" s="2"/>
      <c r="V55" s="6">
        <f t="shared" si="37"/>
        <v>0</v>
      </c>
      <c r="W55" s="2"/>
      <c r="X55" s="7">
        <f t="shared" si="38"/>
        <v>2237.19</v>
      </c>
      <c r="Y55" s="2"/>
      <c r="Z55" s="6">
        <f t="shared" si="39"/>
        <v>10.623943394434418</v>
      </c>
    </row>
    <row r="56" spans="1:26" s="24" customFormat="1" hidden="1" outlineLevel="2" x14ac:dyDescent="0.3">
      <c r="A56" s="27"/>
      <c r="B56" s="11" t="str">
        <f>CONCATENATE("          ", "6241", " - ", "OFFICE EXPENSE")</f>
        <v xml:space="preserve">          6241 - OFFICE EXPENSE</v>
      </c>
      <c r="C56" s="11"/>
      <c r="D56" s="7">
        <v>280.08999999999997</v>
      </c>
      <c r="E56" s="2"/>
      <c r="F56" s="6">
        <f t="shared" si="32"/>
        <v>0</v>
      </c>
      <c r="G56" s="2"/>
      <c r="H56" s="7">
        <v>684</v>
      </c>
      <c r="I56" s="2"/>
      <c r="J56" s="6">
        <f t="shared" si="33"/>
        <v>0</v>
      </c>
      <c r="K56" s="2"/>
      <c r="L56" s="7">
        <f t="shared" si="34"/>
        <v>-403.91</v>
      </c>
      <c r="M56" s="2"/>
      <c r="N56" s="6">
        <f t="shared" si="35"/>
        <v>-0.59051169590643282</v>
      </c>
      <c r="O56" s="11"/>
      <c r="P56" s="7">
        <v>2271.39</v>
      </c>
      <c r="Q56" s="2"/>
      <c r="R56" s="6">
        <f t="shared" si="36"/>
        <v>0</v>
      </c>
      <c r="S56" s="2"/>
      <c r="T56" s="7">
        <v>1765.56</v>
      </c>
      <c r="U56" s="2"/>
      <c r="V56" s="6">
        <f t="shared" si="37"/>
        <v>0</v>
      </c>
      <c r="W56" s="2"/>
      <c r="X56" s="7">
        <f t="shared" si="38"/>
        <v>505.82999999999993</v>
      </c>
      <c r="Y56" s="2"/>
      <c r="Z56" s="6">
        <f t="shared" si="39"/>
        <v>0.28649833480595388</v>
      </c>
    </row>
    <row r="57" spans="1:26" s="24" customFormat="1" hidden="1" outlineLevel="2" x14ac:dyDescent="0.3">
      <c r="A57" s="27"/>
      <c r="B57" s="11" t="str">
        <f>CONCATENATE("          ", "6244", " - ", "SAFETY SUPPLY EXPENSE")</f>
        <v xml:space="preserve">          6244 - SAFETY SUPPLY EXPENSE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600</v>
      </c>
      <c r="Q57" s="2"/>
      <c r="R57" s="6">
        <f t="shared" si="36"/>
        <v>0</v>
      </c>
      <c r="S57" s="2"/>
      <c r="T57" s="7">
        <v>222.71</v>
      </c>
      <c r="U57" s="2"/>
      <c r="V57" s="6">
        <f t="shared" si="37"/>
        <v>0</v>
      </c>
      <c r="W57" s="2"/>
      <c r="X57" s="7">
        <f t="shared" si="38"/>
        <v>377.28999999999996</v>
      </c>
      <c r="Y57" s="2"/>
      <c r="Z57" s="6">
        <f t="shared" si="39"/>
        <v>1.6940864801760134</v>
      </c>
    </row>
    <row r="58" spans="1:26" s="24" customFormat="1" hidden="1" outlineLevel="2" x14ac:dyDescent="0.3">
      <c r="A58" s="27"/>
      <c r="B58" s="11" t="str">
        <f>CONCATENATE("          ", "6248", " - ", "UNIFORMS")</f>
        <v xml:space="preserve">          6248 - UNIFORMS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2784.69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2784.69</v>
      </c>
      <c r="Y58" s="2"/>
      <c r="Z58" s="6">
        <f t="shared" si="39"/>
        <v>0</v>
      </c>
    </row>
    <row r="59" spans="1:26" s="29" customFormat="1" outlineLevel="1" collapsed="1" x14ac:dyDescent="0.3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SUM(OSRRefD22_11x_0)</f>
        <v>577.85</v>
      </c>
      <c r="E59" s="1"/>
      <c r="F59" s="5">
        <f t="shared" ref="F59:F64" si="40">IF(D$12=0,0,D59/D$12)</f>
        <v>0</v>
      </c>
      <c r="G59" s="1"/>
      <c r="H59" s="1">
        <f>SUM(OSRRefH22_11x_0)</f>
        <v>277.55</v>
      </c>
      <c r="I59" s="1"/>
      <c r="J59" s="5">
        <f t="shared" ref="J59:J64" si="41">IF(H$12=0,0,H59/H$12)</f>
        <v>0</v>
      </c>
      <c r="K59" s="1"/>
      <c r="L59" s="1">
        <f t="shared" ref="L59:L64" si="42">+D59-H59</f>
        <v>300.3</v>
      </c>
      <c r="M59" s="1"/>
      <c r="N59" s="5">
        <f t="shared" ref="N59:N64" si="43">IF(H59=0,0,L59/H59)</f>
        <v>1.0819672131147542</v>
      </c>
      <c r="O59" s="14"/>
      <c r="P59" s="1">
        <f>SUM(OSRRefP22_11x_0)</f>
        <v>3399.2</v>
      </c>
      <c r="Q59" s="1"/>
      <c r="R59" s="5">
        <f t="shared" ref="R59:R64" si="44">IF(P$12=0,0,P59/P$12)</f>
        <v>0</v>
      </c>
      <c r="S59" s="1"/>
      <c r="T59" s="1">
        <f>SUM(OSRRefT22_11x_0)</f>
        <v>2258</v>
      </c>
      <c r="U59" s="1"/>
      <c r="V59" s="5">
        <f t="shared" ref="V59:V64" si="45">IF(T$12=0,0,T59/T$12)</f>
        <v>0</v>
      </c>
      <c r="W59" s="1"/>
      <c r="X59" s="1">
        <f t="shared" ref="X59:X64" si="46">+P59-T59</f>
        <v>1141.1999999999998</v>
      </c>
      <c r="Y59" s="1"/>
      <c r="Z59" s="5">
        <f t="shared" ref="Z59:Z64" si="47">IF(T59=0,0,X59/T59)</f>
        <v>0.50540301151461464</v>
      </c>
    </row>
    <row r="60" spans="1:26" s="24" customFormat="1" hidden="1" outlineLevel="2" x14ac:dyDescent="0.3">
      <c r="A60" s="27"/>
      <c r="B60" s="11" t="str">
        <f>CONCATENATE("          ", "6309", " - ", "TELEPHONE")</f>
        <v xml:space="preserve">          6309 - TELEPHONE</v>
      </c>
      <c r="C60" s="11"/>
      <c r="D60" s="7">
        <v>577.85</v>
      </c>
      <c r="E60" s="2"/>
      <c r="F60" s="6">
        <f t="shared" si="40"/>
        <v>0</v>
      </c>
      <c r="G60" s="2"/>
      <c r="H60" s="7">
        <v>277.55</v>
      </c>
      <c r="I60" s="2"/>
      <c r="J60" s="6">
        <f t="shared" si="41"/>
        <v>0</v>
      </c>
      <c r="K60" s="2"/>
      <c r="L60" s="7">
        <f t="shared" si="42"/>
        <v>300.3</v>
      </c>
      <c r="M60" s="2"/>
      <c r="N60" s="6">
        <f t="shared" si="43"/>
        <v>1.0819672131147542</v>
      </c>
      <c r="O60" s="11"/>
      <c r="P60" s="7">
        <v>3399.2</v>
      </c>
      <c r="Q60" s="2"/>
      <c r="R60" s="6">
        <f t="shared" si="44"/>
        <v>0</v>
      </c>
      <c r="S60" s="2"/>
      <c r="T60" s="7">
        <v>2258</v>
      </c>
      <c r="U60" s="2"/>
      <c r="V60" s="6">
        <f t="shared" si="45"/>
        <v>0</v>
      </c>
      <c r="W60" s="2"/>
      <c r="X60" s="7">
        <f t="shared" si="46"/>
        <v>1141.1999999999998</v>
      </c>
      <c r="Y60" s="2"/>
      <c r="Z60" s="6">
        <f t="shared" si="47"/>
        <v>0.50540301151461464</v>
      </c>
    </row>
    <row r="61" spans="1:26" s="29" customFormat="1" outlineLevel="1" collapsed="1" x14ac:dyDescent="0.3">
      <c r="A61" s="28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SUM(OSRRefD22_12x_0)</f>
        <v>0</v>
      </c>
      <c r="E61" s="1"/>
      <c r="F61" s="5">
        <f t="shared" si="40"/>
        <v>0</v>
      </c>
      <c r="G61" s="1"/>
      <c r="H61" s="1">
        <f>SUM(OSRRefH22_12x_0)</f>
        <v>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4"/>
      <c r="P61" s="1">
        <f>SUM(OSRRefP22_12x_0)</f>
        <v>475</v>
      </c>
      <c r="Q61" s="1"/>
      <c r="R61" s="5">
        <f t="shared" si="44"/>
        <v>0</v>
      </c>
      <c r="S61" s="1"/>
      <c r="T61" s="1">
        <f>SUM(OSRRefT22_12x_0)</f>
        <v>-97</v>
      </c>
      <c r="U61" s="1"/>
      <c r="V61" s="5">
        <f t="shared" si="45"/>
        <v>0</v>
      </c>
      <c r="W61" s="1"/>
      <c r="X61" s="1">
        <f t="shared" si="46"/>
        <v>572</v>
      </c>
      <c r="Y61" s="1"/>
      <c r="Z61" s="5">
        <f t="shared" si="47"/>
        <v>-5.8969072164948457</v>
      </c>
    </row>
    <row r="62" spans="1:26" s="24" customFormat="1" hidden="1" outlineLevel="2" x14ac:dyDescent="0.3">
      <c r="A62" s="27"/>
      <c r="B62" s="11" t="str">
        <f>CONCATENATE("          ", "6376", " - ", "TRAINING")</f>
        <v xml:space="preserve">          6376 - TRAINING</v>
      </c>
      <c r="C62" s="11"/>
      <c r="D62" s="7"/>
      <c r="E62" s="2"/>
      <c r="F62" s="6">
        <f t="shared" si="40"/>
        <v>0</v>
      </c>
      <c r="G62" s="2"/>
      <c r="H62" s="7"/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475</v>
      </c>
      <c r="Q62" s="2"/>
      <c r="R62" s="6">
        <f t="shared" si="44"/>
        <v>0</v>
      </c>
      <c r="S62" s="2"/>
      <c r="T62" s="7">
        <v>-97</v>
      </c>
      <c r="U62" s="2"/>
      <c r="V62" s="6">
        <f t="shared" si="45"/>
        <v>0</v>
      </c>
      <c r="W62" s="2"/>
      <c r="X62" s="7">
        <f t="shared" si="46"/>
        <v>572</v>
      </c>
      <c r="Y62" s="2"/>
      <c r="Z62" s="6">
        <f t="shared" si="47"/>
        <v>-5.8969072164948457</v>
      </c>
    </row>
    <row r="63" spans="1:26" s="29" customFormat="1" outlineLevel="1" collapsed="1" x14ac:dyDescent="0.3">
      <c r="A63" s="28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4"/>
      <c r="P63" s="1">
        <f>SUM(OSRRefP22_13x_0)</f>
        <v>0</v>
      </c>
      <c r="Q63" s="1"/>
      <c r="R63" s="5">
        <f t="shared" si="44"/>
        <v>0</v>
      </c>
      <c r="S63" s="1"/>
      <c r="T63" s="1">
        <f>SUM(OSRRefT22_13x_0)</f>
        <v>720</v>
      </c>
      <c r="U63" s="1"/>
      <c r="V63" s="5">
        <f t="shared" si="45"/>
        <v>0</v>
      </c>
      <c r="W63" s="1"/>
      <c r="X63" s="1">
        <f t="shared" si="46"/>
        <v>-720</v>
      </c>
      <c r="Y63" s="1"/>
      <c r="Z63" s="5">
        <f t="shared" si="47"/>
        <v>-1</v>
      </c>
    </row>
    <row r="64" spans="1:26" s="24" customFormat="1" hidden="1" outlineLevel="2" x14ac:dyDescent="0.3">
      <c r="A64" s="27"/>
      <c r="B64" s="11" t="str">
        <f>CONCATENATE("          ", "6292", " - ", "TRAVEL/CONFERENCE")</f>
        <v xml:space="preserve">          6292 - TRAVEL/CONFERENCE</v>
      </c>
      <c r="C64" s="11"/>
      <c r="D64" s="7"/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0</v>
      </c>
      <c r="M64" s="2"/>
      <c r="N64" s="6">
        <f t="shared" si="43"/>
        <v>0</v>
      </c>
      <c r="O64" s="11"/>
      <c r="P64" s="7"/>
      <c r="Q64" s="2"/>
      <c r="R64" s="6">
        <f t="shared" si="44"/>
        <v>0</v>
      </c>
      <c r="S64" s="2"/>
      <c r="T64" s="7">
        <v>720</v>
      </c>
      <c r="U64" s="2"/>
      <c r="V64" s="6">
        <f t="shared" si="45"/>
        <v>0</v>
      </c>
      <c r="W64" s="2"/>
      <c r="X64" s="7">
        <f t="shared" si="46"/>
        <v>-720</v>
      </c>
      <c r="Y64" s="2"/>
      <c r="Z64" s="6">
        <f t="shared" si="47"/>
        <v>-1</v>
      </c>
    </row>
    <row r="65" spans="1:26" s="52" customFormat="1" x14ac:dyDescent="0.3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3">
      <c r="A66" s="10"/>
      <c r="B66" s="26" t="s">
        <v>292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3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10"/>
      <c r="B68" s="25" t="s">
        <v>276</v>
      </c>
      <c r="C68" s="25"/>
      <c r="D68" s="21">
        <f>+D16-D18+D66</f>
        <v>-65576.820000000007</v>
      </c>
      <c r="E68" s="13"/>
      <c r="F68" s="22">
        <f>IF(D$12=0,0,D68/D$12)</f>
        <v>0</v>
      </c>
      <c r="G68" s="13"/>
      <c r="H68" s="21">
        <f>+H16-H18+H66</f>
        <v>-51218.010000000009</v>
      </c>
      <c r="I68" s="13"/>
      <c r="J68" s="22">
        <f>IF(H$12=0,0,H68/H$12)</f>
        <v>0</v>
      </c>
      <c r="K68" s="15"/>
      <c r="L68" s="21">
        <f>+D68-H68</f>
        <v>-14358.809999999998</v>
      </c>
      <c r="M68" s="15"/>
      <c r="N68" s="22">
        <f>IF(H68=0,0,L68/H68)</f>
        <v>0.28034689360246512</v>
      </c>
      <c r="O68" s="26"/>
      <c r="P68" s="21">
        <f>+P16-P18+P66</f>
        <v>-385311.72000000003</v>
      </c>
      <c r="Q68" s="13"/>
      <c r="R68" s="22">
        <f>IF(P$12=0,0,P68/P$12)</f>
        <v>0</v>
      </c>
      <c r="S68" s="13"/>
      <c r="T68" s="21">
        <f>+T16-T18+T66</f>
        <v>-322847.12</v>
      </c>
      <c r="U68" s="13"/>
      <c r="V68" s="22">
        <f>IF(T$12=0,0,T68/T$12)</f>
        <v>0</v>
      </c>
      <c r="W68" s="15"/>
      <c r="X68" s="21">
        <f>+P68-T68</f>
        <v>-62464.600000000035</v>
      </c>
      <c r="Y68" s="15"/>
      <c r="Z68" s="22">
        <f>IF(T68=0,0,X68/T68)</f>
        <v>0.19348043123321043</v>
      </c>
    </row>
    <row r="69" spans="1:26" x14ac:dyDescent="0.3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">
      <c r="A70" s="51"/>
      <c r="B70" s="10" t="s">
        <v>127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5" t="s">
        <v>125</v>
      </c>
      <c r="C72" s="25"/>
      <c r="D72" s="36">
        <f>+D68-D70</f>
        <v>-65576.820000000007</v>
      </c>
      <c r="E72" s="13"/>
      <c r="F72" s="31">
        <f>IF(D$12=0,0,D72/D$12)</f>
        <v>0</v>
      </c>
      <c r="G72" s="13"/>
      <c r="H72" s="36">
        <f>+H68-H70</f>
        <v>-51218.010000000009</v>
      </c>
      <c r="I72" s="13"/>
      <c r="J72" s="31">
        <f>IF(H$12=0,0,H72/H$12)</f>
        <v>0</v>
      </c>
      <c r="K72" s="15"/>
      <c r="L72" s="36">
        <f>D72-H72</f>
        <v>-14358.809999999998</v>
      </c>
      <c r="M72" s="15"/>
      <c r="N72" s="31">
        <f>IF(H72=0,0,L72/H72)</f>
        <v>0.28034689360246512</v>
      </c>
      <c r="O72" s="26"/>
      <c r="P72" s="36">
        <f>+P68-P70</f>
        <v>-385311.72000000003</v>
      </c>
      <c r="Q72" s="13"/>
      <c r="R72" s="31">
        <f>IF(P$12=0,0,P72/P$12)</f>
        <v>0</v>
      </c>
      <c r="S72" s="13"/>
      <c r="T72" s="36">
        <f>+T68-T70</f>
        <v>-322847.12</v>
      </c>
      <c r="U72" s="13"/>
      <c r="V72" s="31">
        <f>IF(T$12=0,0,T72/T$12)</f>
        <v>0</v>
      </c>
      <c r="W72" s="15"/>
      <c r="X72" s="36">
        <f>P72-T72</f>
        <v>-62464.600000000035</v>
      </c>
      <c r="Y72" s="15"/>
      <c r="Z72" s="31">
        <f>IF(T72=0,0,X72/T72)</f>
        <v>0.19348043123321043</v>
      </c>
    </row>
    <row r="73" spans="1:26" ht="15" thickTop="1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3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5" t="s">
        <v>293</v>
      </c>
      <c r="C75" s="25"/>
      <c r="D75" s="35">
        <f>SUM(D72:D74)</f>
        <v>-65576.820000000007</v>
      </c>
      <c r="E75" s="13"/>
      <c r="F75" s="32">
        <f>IF(D$12=0,0,D75/D$12)</f>
        <v>0</v>
      </c>
      <c r="G75" s="13"/>
      <c r="H75" s="35">
        <f>SUM(H72:H74)</f>
        <v>-51218.010000000009</v>
      </c>
      <c r="I75" s="13"/>
      <c r="J75" s="32">
        <f>IF(H$12=0,0,H75/H$12)</f>
        <v>0</v>
      </c>
      <c r="K75" s="15"/>
      <c r="L75" s="35">
        <f>+D75-H75</f>
        <v>-14358.809999999998</v>
      </c>
      <c r="M75" s="15"/>
      <c r="N75" s="32">
        <f>IF(H75=0,0,L75/H75)</f>
        <v>0.28034689360246512</v>
      </c>
      <c r="O75" s="26"/>
      <c r="P75" s="35">
        <f>SUM(P72:P74)</f>
        <v>-385311.72000000003</v>
      </c>
      <c r="Q75" s="13"/>
      <c r="R75" s="32">
        <f>IF(P$12=0,0,P75/P$12)</f>
        <v>0</v>
      </c>
      <c r="S75" s="13"/>
      <c r="T75" s="35">
        <f>SUM(T72:T74)</f>
        <v>-322847.12</v>
      </c>
      <c r="U75" s="13"/>
      <c r="V75" s="32">
        <f>IF(T$12=0,0,T75/T$12)</f>
        <v>0</v>
      </c>
      <c r="W75" s="15"/>
      <c r="X75" s="35">
        <f>+P75-T75</f>
        <v>-62464.600000000035</v>
      </c>
      <c r="Y75" s="15"/>
      <c r="Z75" s="32">
        <f>IF(T75=0,0,X75/T75)</f>
        <v>0.19348043123321043</v>
      </c>
    </row>
    <row r="76" spans="1:26" ht="15" thickTop="1" x14ac:dyDescent="0.3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54">
        <v>44604.028475694446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A78" s="9"/>
      <c r="B78" s="53" t="s">
        <v>56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A79" s="9"/>
      <c r="B79" s="5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","204", " - ", "Information Technology")</f>
        <v>Department 204 - Information Technology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50768.030000000006</v>
      </c>
      <c r="E18" s="20"/>
      <c r="F18" s="30">
        <f t="shared" ref="F18:F28" si="0">IF(D$12=0,0,D18/D$12)</f>
        <v>0</v>
      </c>
      <c r="G18" s="20"/>
      <c r="H18" s="20">
        <f>SUM(OSRRefH22x_0)</f>
        <v>50620.130000000005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147.90000000000146</v>
      </c>
      <c r="M18" s="4"/>
      <c r="N18" s="30">
        <f t="shared" ref="N18:N28" si="3">IF(H18=0,0,L18/H18)</f>
        <v>2.9217625478243823E-3</v>
      </c>
      <c r="O18" s="10"/>
      <c r="P18" s="20">
        <f>SUM(OSRRefP22x_0)</f>
        <v>318727.39</v>
      </c>
      <c r="Q18" s="20"/>
      <c r="R18" s="30">
        <f t="shared" ref="R18:R28" si="4">IF(P$12=0,0,P18/P$12)</f>
        <v>0</v>
      </c>
      <c r="S18" s="20"/>
      <c r="T18" s="20">
        <f>SUM(OSRRefT22x_0)</f>
        <v>357175.36999999994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-38447.979999999923</v>
      </c>
      <c r="Y18" s="4"/>
      <c r="Z18" s="30">
        <f t="shared" ref="Z18:Z28" si="7">IF(T18=0,0,X18/T18)</f>
        <v>-0.10764454447124933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13150.54</v>
      </c>
      <c r="E19" s="1"/>
      <c r="F19" s="5">
        <f t="shared" si="0"/>
        <v>0</v>
      </c>
      <c r="G19" s="1"/>
      <c r="H19" s="1">
        <f>SUM(OSRRefH22_0x_0)</f>
        <v>11253.12</v>
      </c>
      <c r="I19" s="1"/>
      <c r="J19" s="5">
        <f t="shared" si="1"/>
        <v>0</v>
      </c>
      <c r="K19" s="1"/>
      <c r="L19" s="1">
        <f t="shared" si="2"/>
        <v>1897.42</v>
      </c>
      <c r="M19" s="1"/>
      <c r="N19" s="5">
        <f t="shared" si="3"/>
        <v>0.16861279360746176</v>
      </c>
      <c r="O19" s="14"/>
      <c r="P19" s="1">
        <f>SUM(OSRRefP22_0x_0)</f>
        <v>80482.569999999992</v>
      </c>
      <c r="Q19" s="1"/>
      <c r="R19" s="5">
        <f t="shared" si="4"/>
        <v>0</v>
      </c>
      <c r="S19" s="1"/>
      <c r="T19" s="1">
        <f>SUM(OSRRefT22_0x_0)</f>
        <v>88342.05</v>
      </c>
      <c r="U19" s="1"/>
      <c r="V19" s="5">
        <f t="shared" si="5"/>
        <v>0</v>
      </c>
      <c r="W19" s="1"/>
      <c r="X19" s="1">
        <f t="shared" si="6"/>
        <v>-7859.4800000000105</v>
      </c>
      <c r="Y19" s="1"/>
      <c r="Z19" s="5">
        <f t="shared" si="7"/>
        <v>-8.8966466139284855E-2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1474.55</v>
      </c>
      <c r="E20" s="2"/>
      <c r="F20" s="6">
        <f t="shared" si="0"/>
        <v>0</v>
      </c>
      <c r="G20" s="2"/>
      <c r="H20" s="7">
        <v>1417.14</v>
      </c>
      <c r="I20" s="2"/>
      <c r="J20" s="6">
        <f t="shared" si="1"/>
        <v>0</v>
      </c>
      <c r="K20" s="2"/>
      <c r="L20" s="7">
        <f t="shared" si="2"/>
        <v>57.409999999999854</v>
      </c>
      <c r="M20" s="2"/>
      <c r="N20" s="6">
        <f t="shared" si="3"/>
        <v>4.051117038542406E-2</v>
      </c>
      <c r="O20" s="11"/>
      <c r="P20" s="7">
        <v>10817.87</v>
      </c>
      <c r="Q20" s="2"/>
      <c r="R20" s="6">
        <f t="shared" si="4"/>
        <v>0</v>
      </c>
      <c r="S20" s="2"/>
      <c r="T20" s="7">
        <v>12707.71</v>
      </c>
      <c r="U20" s="2"/>
      <c r="V20" s="6">
        <f t="shared" si="5"/>
        <v>0</v>
      </c>
      <c r="W20" s="2"/>
      <c r="X20" s="7">
        <f t="shared" si="6"/>
        <v>-1889.8399999999983</v>
      </c>
      <c r="Y20" s="2"/>
      <c r="Z20" s="6">
        <f t="shared" si="7"/>
        <v>-0.1487160157101475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248.65</v>
      </c>
      <c r="E21" s="2"/>
      <c r="F21" s="6">
        <f t="shared" si="0"/>
        <v>0</v>
      </c>
      <c r="G21" s="2"/>
      <c r="H21" s="7">
        <v>-72.97</v>
      </c>
      <c r="I21" s="2"/>
      <c r="J21" s="6">
        <f t="shared" si="1"/>
        <v>0</v>
      </c>
      <c r="K21" s="2"/>
      <c r="L21" s="7">
        <f t="shared" si="2"/>
        <v>321.62</v>
      </c>
      <c r="M21" s="2"/>
      <c r="N21" s="6">
        <f t="shared" si="3"/>
        <v>-4.4075647526380708</v>
      </c>
      <c r="O21" s="11"/>
      <c r="P21" s="7">
        <v>1816.96</v>
      </c>
      <c r="Q21" s="2"/>
      <c r="R21" s="6">
        <f t="shared" si="4"/>
        <v>0</v>
      </c>
      <c r="S21" s="2"/>
      <c r="T21" s="7">
        <v>600.59</v>
      </c>
      <c r="U21" s="2"/>
      <c r="V21" s="6">
        <f t="shared" si="5"/>
        <v>0</v>
      </c>
      <c r="W21" s="2"/>
      <c r="X21" s="7">
        <f t="shared" si="6"/>
        <v>1216.3699999999999</v>
      </c>
      <c r="Y21" s="2"/>
      <c r="Z21" s="6">
        <f t="shared" si="7"/>
        <v>2.025291796400206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4446.67</v>
      </c>
      <c r="E22" s="2"/>
      <c r="F22" s="6">
        <f t="shared" si="0"/>
        <v>0</v>
      </c>
      <c r="G22" s="2"/>
      <c r="H22" s="7">
        <v>4844.5200000000004</v>
      </c>
      <c r="I22" s="2"/>
      <c r="J22" s="6">
        <f t="shared" si="1"/>
        <v>0</v>
      </c>
      <c r="K22" s="2"/>
      <c r="L22" s="7">
        <f t="shared" si="2"/>
        <v>-397.85000000000036</v>
      </c>
      <c r="M22" s="2"/>
      <c r="N22" s="6">
        <f t="shared" si="3"/>
        <v>-8.2123719171352444E-2</v>
      </c>
      <c r="O22" s="11"/>
      <c r="P22" s="7">
        <v>33480.04</v>
      </c>
      <c r="Q22" s="2"/>
      <c r="R22" s="6">
        <f t="shared" si="4"/>
        <v>0</v>
      </c>
      <c r="S22" s="2"/>
      <c r="T22" s="7">
        <v>38224.9</v>
      </c>
      <c r="U22" s="2"/>
      <c r="V22" s="6">
        <f t="shared" si="5"/>
        <v>0</v>
      </c>
      <c r="W22" s="2"/>
      <c r="X22" s="7">
        <f t="shared" si="6"/>
        <v>-4744.8600000000006</v>
      </c>
      <c r="Y22" s="2"/>
      <c r="Z22" s="6">
        <f t="shared" si="7"/>
        <v>-0.12413008274710988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50.12</v>
      </c>
      <c r="E23" s="2"/>
      <c r="F23" s="6">
        <f t="shared" si="0"/>
        <v>0</v>
      </c>
      <c r="G23" s="2"/>
      <c r="H23" s="7">
        <v>95.69</v>
      </c>
      <c r="I23" s="2"/>
      <c r="J23" s="6">
        <f t="shared" si="1"/>
        <v>0</v>
      </c>
      <c r="K23" s="2"/>
      <c r="L23" s="7">
        <f t="shared" si="2"/>
        <v>-45.57</v>
      </c>
      <c r="M23" s="2"/>
      <c r="N23" s="6">
        <f t="shared" si="3"/>
        <v>-0.47622531089978054</v>
      </c>
      <c r="O23" s="11"/>
      <c r="P23" s="7">
        <v>366.2</v>
      </c>
      <c r="Q23" s="2"/>
      <c r="R23" s="6">
        <f t="shared" si="4"/>
        <v>0</v>
      </c>
      <c r="S23" s="2"/>
      <c r="T23" s="7">
        <v>434.02</v>
      </c>
      <c r="U23" s="2"/>
      <c r="V23" s="6">
        <f t="shared" si="5"/>
        <v>0</v>
      </c>
      <c r="W23" s="2"/>
      <c r="X23" s="7">
        <f t="shared" si="6"/>
        <v>-67.819999999999993</v>
      </c>
      <c r="Y23" s="2"/>
      <c r="Z23" s="6">
        <f t="shared" si="7"/>
        <v>-0.15626008018063683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1907.46</v>
      </c>
      <c r="E24" s="2"/>
      <c r="F24" s="6">
        <f t="shared" si="0"/>
        <v>0</v>
      </c>
      <c r="G24" s="2"/>
      <c r="H24" s="7">
        <v>2791.81</v>
      </c>
      <c r="I24" s="2"/>
      <c r="J24" s="6">
        <f t="shared" si="1"/>
        <v>0</v>
      </c>
      <c r="K24" s="2"/>
      <c r="L24" s="7">
        <f t="shared" si="2"/>
        <v>-884.34999999999991</v>
      </c>
      <c r="M24" s="2"/>
      <c r="N24" s="6">
        <f t="shared" si="3"/>
        <v>-0.31676582575461792</v>
      </c>
      <c r="O24" s="11"/>
      <c r="P24" s="7">
        <v>13975.86</v>
      </c>
      <c r="Q24" s="2"/>
      <c r="R24" s="6">
        <f t="shared" si="4"/>
        <v>0</v>
      </c>
      <c r="S24" s="2"/>
      <c r="T24" s="7">
        <v>16344.9</v>
      </c>
      <c r="U24" s="2"/>
      <c r="V24" s="6">
        <f t="shared" si="5"/>
        <v>0</v>
      </c>
      <c r="W24" s="2"/>
      <c r="X24" s="7">
        <f t="shared" si="6"/>
        <v>-2369.0399999999991</v>
      </c>
      <c r="Y24" s="2"/>
      <c r="Z24" s="6">
        <f t="shared" si="7"/>
        <v>-0.14494062368078112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912.28</v>
      </c>
      <c r="U25" s="2"/>
      <c r="V25" s="6">
        <f t="shared" si="5"/>
        <v>0</v>
      </c>
      <c r="W25" s="2"/>
      <c r="X25" s="7">
        <f t="shared" si="6"/>
        <v>-912.28</v>
      </c>
      <c r="Y25" s="2"/>
      <c r="Z25" s="6">
        <f t="shared" si="7"/>
        <v>-1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3077.73</v>
      </c>
      <c r="E26" s="2"/>
      <c r="F26" s="6">
        <f t="shared" si="0"/>
        <v>0</v>
      </c>
      <c r="G26" s="2"/>
      <c r="H26" s="7">
        <v>1296.43</v>
      </c>
      <c r="I26" s="2"/>
      <c r="J26" s="6">
        <f t="shared" si="1"/>
        <v>0</v>
      </c>
      <c r="K26" s="2"/>
      <c r="L26" s="7">
        <f t="shared" si="2"/>
        <v>1781.3</v>
      </c>
      <c r="M26" s="2"/>
      <c r="N26" s="6">
        <f t="shared" si="3"/>
        <v>1.3740039955878836</v>
      </c>
      <c r="O26" s="11"/>
      <c r="P26" s="7">
        <v>11235.95</v>
      </c>
      <c r="Q26" s="2"/>
      <c r="R26" s="6">
        <f t="shared" si="4"/>
        <v>0</v>
      </c>
      <c r="S26" s="2"/>
      <c r="T26" s="7">
        <v>10687.55</v>
      </c>
      <c r="U26" s="2"/>
      <c r="V26" s="6">
        <f t="shared" si="5"/>
        <v>0</v>
      </c>
      <c r="W26" s="2"/>
      <c r="X26" s="7">
        <f t="shared" si="6"/>
        <v>548.40000000000146</v>
      </c>
      <c r="Y26" s="2"/>
      <c r="Z26" s="6">
        <f t="shared" si="7"/>
        <v>5.1312040645424023E-2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1773.2</v>
      </c>
      <c r="E27" s="2"/>
      <c r="F27" s="6">
        <f t="shared" si="0"/>
        <v>0</v>
      </c>
      <c r="G27" s="2"/>
      <c r="H27" s="7">
        <v>844.06</v>
      </c>
      <c r="I27" s="2"/>
      <c r="J27" s="6">
        <f t="shared" si="1"/>
        <v>0</v>
      </c>
      <c r="K27" s="2"/>
      <c r="L27" s="7">
        <f t="shared" si="2"/>
        <v>929.1400000000001</v>
      </c>
      <c r="M27" s="2"/>
      <c r="N27" s="6">
        <f t="shared" si="3"/>
        <v>1.1007985214321259</v>
      </c>
      <c r="O27" s="11"/>
      <c r="P27" s="7">
        <v>7327.15</v>
      </c>
      <c r="Q27" s="2"/>
      <c r="R27" s="6">
        <f t="shared" si="4"/>
        <v>0</v>
      </c>
      <c r="S27" s="2"/>
      <c r="T27" s="7">
        <v>7105.35</v>
      </c>
      <c r="U27" s="2"/>
      <c r="V27" s="6">
        <f t="shared" si="5"/>
        <v>0</v>
      </c>
      <c r="W27" s="2"/>
      <c r="X27" s="7">
        <f t="shared" si="6"/>
        <v>221.79999999999927</v>
      </c>
      <c r="Y27" s="2"/>
      <c r="Z27" s="6">
        <f t="shared" si="7"/>
        <v>3.1215914768449024E-2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172.16</v>
      </c>
      <c r="E28" s="2"/>
      <c r="F28" s="6">
        <f t="shared" si="0"/>
        <v>0</v>
      </c>
      <c r="G28" s="2"/>
      <c r="H28" s="7">
        <v>36.44</v>
      </c>
      <c r="I28" s="2"/>
      <c r="J28" s="6">
        <f t="shared" si="1"/>
        <v>0</v>
      </c>
      <c r="K28" s="2"/>
      <c r="L28" s="7">
        <f t="shared" si="2"/>
        <v>135.72</v>
      </c>
      <c r="M28" s="2"/>
      <c r="N28" s="6">
        <f t="shared" si="3"/>
        <v>3.7244785949506038</v>
      </c>
      <c r="O28" s="11"/>
      <c r="P28" s="7">
        <v>1462.54</v>
      </c>
      <c r="Q28" s="2"/>
      <c r="R28" s="6">
        <f t="shared" si="4"/>
        <v>0</v>
      </c>
      <c r="S28" s="2"/>
      <c r="T28" s="7">
        <v>1324.75</v>
      </c>
      <c r="U28" s="2"/>
      <c r="V28" s="6">
        <f t="shared" si="5"/>
        <v>0</v>
      </c>
      <c r="W28" s="2"/>
      <c r="X28" s="7">
        <f t="shared" si="6"/>
        <v>137.78999999999996</v>
      </c>
      <c r="Y28" s="2"/>
      <c r="Z28" s="6">
        <f t="shared" si="7"/>
        <v>0.10401207775051893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21976.01</v>
      </c>
      <c r="E29" s="1"/>
      <c r="F29" s="5">
        <f t="shared" ref="F29:F32" si="8">IF(D$12=0,0,D29/D$12)</f>
        <v>0</v>
      </c>
      <c r="G29" s="1"/>
      <c r="H29" s="1">
        <f>SUM(OSRRefH22_1x_0)</f>
        <v>21531.85</v>
      </c>
      <c r="I29" s="1"/>
      <c r="J29" s="5">
        <f t="shared" ref="J29:J32" si="9">IF(H$12=0,0,H29/H$12)</f>
        <v>0</v>
      </c>
      <c r="K29" s="1"/>
      <c r="L29" s="1">
        <f t="shared" ref="L29:L32" si="10">+D29-H29</f>
        <v>444.15999999999985</v>
      </c>
      <c r="M29" s="1"/>
      <c r="N29" s="5">
        <f t="shared" ref="N29:N32" si="11">IF(H29=0,0,L29/H29)</f>
        <v>2.0628046359230622E-2</v>
      </c>
      <c r="O29" s="14"/>
      <c r="P29" s="1">
        <f>SUM(OSRRefP22_1x_0)</f>
        <v>133004</v>
      </c>
      <c r="Q29" s="1"/>
      <c r="R29" s="5">
        <f t="shared" ref="R29:R32" si="12">IF(P$12=0,0,P29/P$12)</f>
        <v>0</v>
      </c>
      <c r="S29" s="1"/>
      <c r="T29" s="1">
        <f>SUM(OSRRefT22_1x_0)</f>
        <v>145758.19999999998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-12754.199999999983</v>
      </c>
      <c r="Y29" s="1"/>
      <c r="Z29" s="5">
        <f t="shared" ref="Z29:Z32" si="15">IF(T29=0,0,X29/T29)</f>
        <v>-8.7502452692198335E-2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20978.01</v>
      </c>
      <c r="E30" s="2"/>
      <c r="F30" s="6">
        <f t="shared" si="8"/>
        <v>0</v>
      </c>
      <c r="G30" s="2"/>
      <c r="H30" s="7">
        <v>21531.85</v>
      </c>
      <c r="I30" s="2"/>
      <c r="J30" s="6">
        <f t="shared" si="9"/>
        <v>0</v>
      </c>
      <c r="K30" s="2"/>
      <c r="L30" s="7">
        <f t="shared" si="10"/>
        <v>-553.84000000000015</v>
      </c>
      <c r="M30" s="2"/>
      <c r="N30" s="6">
        <f t="shared" si="11"/>
        <v>-2.5721895703341803E-2</v>
      </c>
      <c r="O30" s="11"/>
      <c r="P30" s="7">
        <v>132006</v>
      </c>
      <c r="Q30" s="2"/>
      <c r="R30" s="6">
        <f t="shared" si="12"/>
        <v>0</v>
      </c>
      <c r="S30" s="2"/>
      <c r="T30" s="7">
        <v>131544.95999999999</v>
      </c>
      <c r="U30" s="2"/>
      <c r="V30" s="6">
        <f t="shared" si="13"/>
        <v>0</v>
      </c>
      <c r="W30" s="2"/>
      <c r="X30" s="7">
        <f t="shared" si="14"/>
        <v>461.04000000000815</v>
      </c>
      <c r="Y30" s="2"/>
      <c r="Z30" s="6">
        <f t="shared" si="15"/>
        <v>3.5048093062631071E-3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14213.24</v>
      </c>
      <c r="U31" s="2"/>
      <c r="V31" s="6">
        <f t="shared" si="13"/>
        <v>0</v>
      </c>
      <c r="W31" s="2"/>
      <c r="X31" s="7">
        <f t="shared" si="14"/>
        <v>-14213.24</v>
      </c>
      <c r="Y31" s="2"/>
      <c r="Z31" s="6">
        <f t="shared" si="15"/>
        <v>-1</v>
      </c>
    </row>
    <row r="32" spans="1:26" s="24" customFormat="1" hidden="1" outlineLevel="2" x14ac:dyDescent="0.3">
      <c r="A32" s="27"/>
      <c r="B32" s="11" t="str">
        <f>CONCATENATE("          ", "6007", " - ", "STUDENT HOURLY")</f>
        <v xml:space="preserve">          6007 - STUDENT HOURLY</v>
      </c>
      <c r="C32" s="11"/>
      <c r="D32" s="7">
        <v>998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998</v>
      </c>
      <c r="M32" s="2"/>
      <c r="N32" s="6">
        <f t="shared" si="11"/>
        <v>0</v>
      </c>
      <c r="O32" s="11"/>
      <c r="P32" s="7">
        <v>998</v>
      </c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998</v>
      </c>
      <c r="Y32" s="2"/>
      <c r="Z32" s="6">
        <f t="shared" si="15"/>
        <v>0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2140.89</v>
      </c>
      <c r="E33" s="1"/>
      <c r="F33" s="5">
        <f t="shared" ref="F33:F43" si="16">IF(D$12=0,0,D33/D$12)</f>
        <v>0</v>
      </c>
      <c r="G33" s="1"/>
      <c r="H33" s="1">
        <f>SUM(OSRRefH22_2x_0)</f>
        <v>4994.03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-2853.14</v>
      </c>
      <c r="M33" s="1"/>
      <c r="N33" s="5">
        <f t="shared" ref="N33:N43" si="19">IF(H33=0,0,L33/H33)</f>
        <v>-0.57131014431230887</v>
      </c>
      <c r="O33" s="14"/>
      <c r="P33" s="1">
        <f>SUM(OSRRefP22_2x_0)</f>
        <v>23858.67</v>
      </c>
      <c r="Q33" s="1"/>
      <c r="R33" s="5">
        <f t="shared" ref="R33:R43" si="20">IF(P$12=0,0,P33/P$12)</f>
        <v>0</v>
      </c>
      <c r="S33" s="1"/>
      <c r="T33" s="1">
        <f>SUM(OSRRefT22_2x_0)</f>
        <v>36528.730000000003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-12670.060000000005</v>
      </c>
      <c r="Y33" s="1"/>
      <c r="Z33" s="5">
        <f t="shared" ref="Z33:Z43" si="23">IF(T33=0,0,X33/T33)</f>
        <v>-0.34685191628616718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2140.89</v>
      </c>
      <c r="E34" s="2"/>
      <c r="F34" s="6">
        <f t="shared" si="16"/>
        <v>0</v>
      </c>
      <c r="G34" s="2"/>
      <c r="H34" s="7">
        <v>4994.03</v>
      </c>
      <c r="I34" s="2"/>
      <c r="J34" s="6">
        <f t="shared" si="17"/>
        <v>0</v>
      </c>
      <c r="K34" s="2"/>
      <c r="L34" s="7">
        <f t="shared" si="18"/>
        <v>-2853.14</v>
      </c>
      <c r="M34" s="2"/>
      <c r="N34" s="6">
        <f t="shared" si="19"/>
        <v>-0.57131014431230887</v>
      </c>
      <c r="O34" s="11"/>
      <c r="P34" s="7">
        <v>23858.67</v>
      </c>
      <c r="Q34" s="2"/>
      <c r="R34" s="6">
        <f t="shared" si="20"/>
        <v>0</v>
      </c>
      <c r="S34" s="2"/>
      <c r="T34" s="7">
        <v>36528.730000000003</v>
      </c>
      <c r="U34" s="2"/>
      <c r="V34" s="6">
        <f t="shared" si="21"/>
        <v>0</v>
      </c>
      <c r="W34" s="2"/>
      <c r="X34" s="7">
        <f t="shared" si="22"/>
        <v>-12670.060000000005</v>
      </c>
      <c r="Y34" s="2"/>
      <c r="Z34" s="6">
        <f t="shared" si="23"/>
        <v>-0.34685191628616718</v>
      </c>
    </row>
    <row r="35" spans="1:26" s="29" customFormat="1" outlineLevel="1" collapsed="1" x14ac:dyDescent="0.3">
      <c r="A35" s="28"/>
      <c r="B35" s="14" t="str">
        <f>CONCATENATE("     ","Freight out/Postage                               ")</f>
        <v xml:space="preserve">     Freight out/Postage                               </v>
      </c>
      <c r="C35" s="14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0</v>
      </c>
      <c r="Q35" s="1"/>
      <c r="R35" s="5">
        <f t="shared" si="20"/>
        <v>0</v>
      </c>
      <c r="S35" s="1"/>
      <c r="T35" s="1">
        <f>SUM(OSRRefT22_3x_0)</f>
        <v>5.7</v>
      </c>
      <c r="U35" s="1"/>
      <c r="V35" s="5">
        <f t="shared" si="21"/>
        <v>0</v>
      </c>
      <c r="W35" s="1"/>
      <c r="X35" s="1">
        <f t="shared" si="22"/>
        <v>-5.7</v>
      </c>
      <c r="Y35" s="1"/>
      <c r="Z35" s="5">
        <f t="shared" si="23"/>
        <v>-1</v>
      </c>
    </row>
    <row r="36" spans="1:26" s="24" customFormat="1" hidden="1" outlineLevel="2" x14ac:dyDescent="0.3">
      <c r="A36" s="27"/>
      <c r="B36" s="11" t="str">
        <f>CONCATENATE("          ", "6307", " - ", "POSTAGE")</f>
        <v xml:space="preserve">          6307 - POSTAGE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5.7</v>
      </c>
      <c r="U36" s="2"/>
      <c r="V36" s="6">
        <f t="shared" si="21"/>
        <v>0</v>
      </c>
      <c r="W36" s="2"/>
      <c r="X36" s="7">
        <f t="shared" si="22"/>
        <v>-5.7</v>
      </c>
      <c r="Y36" s="2"/>
      <c r="Z36" s="6">
        <f t="shared" si="23"/>
        <v>-1</v>
      </c>
    </row>
    <row r="37" spans="1:26" s="29" customFormat="1" outlineLevel="1" collapsed="1" x14ac:dyDescent="0.3">
      <c r="A37" s="28"/>
      <c r="B37" s="14" t="str">
        <f>CONCATENATE("     ","Insurance                                         ")</f>
        <v xml:space="preserve">     Insurance                                         </v>
      </c>
      <c r="C37" s="14"/>
      <c r="D37" s="1">
        <f>SUM(OSRRefD22_4x_0)</f>
        <v>76.569999999999993</v>
      </c>
      <c r="E37" s="1"/>
      <c r="F37" s="5">
        <f t="shared" si="16"/>
        <v>0</v>
      </c>
      <c r="G37" s="1"/>
      <c r="H37" s="1">
        <f>SUM(OSRRefH22_4x_0)</f>
        <v>56.34</v>
      </c>
      <c r="I37" s="1"/>
      <c r="J37" s="5">
        <f t="shared" si="17"/>
        <v>0</v>
      </c>
      <c r="K37" s="1"/>
      <c r="L37" s="1">
        <f t="shared" si="18"/>
        <v>20.22999999999999</v>
      </c>
      <c r="M37" s="1"/>
      <c r="N37" s="5">
        <f t="shared" si="19"/>
        <v>0.35906993255236047</v>
      </c>
      <c r="O37" s="14"/>
      <c r="P37" s="1">
        <f>SUM(OSRRefP22_4x_0)</f>
        <v>535.99</v>
      </c>
      <c r="Q37" s="1"/>
      <c r="R37" s="5">
        <f t="shared" si="20"/>
        <v>0</v>
      </c>
      <c r="S37" s="1"/>
      <c r="T37" s="1">
        <f>SUM(OSRRefT22_4x_0)</f>
        <v>394.38</v>
      </c>
      <c r="U37" s="1"/>
      <c r="V37" s="5">
        <f t="shared" si="21"/>
        <v>0</v>
      </c>
      <c r="W37" s="1"/>
      <c r="X37" s="1">
        <f t="shared" si="22"/>
        <v>141.61000000000001</v>
      </c>
      <c r="Y37" s="1"/>
      <c r="Z37" s="5">
        <f t="shared" si="23"/>
        <v>0.35906993255236069</v>
      </c>
    </row>
    <row r="38" spans="1:26" s="24" customFormat="1" hidden="1" outlineLevel="2" x14ac:dyDescent="0.3">
      <c r="A38" s="27"/>
      <c r="B38" s="11" t="str">
        <f>CONCATENATE("          ", "6314", " - ", "LIABILITY INSURANCE")</f>
        <v xml:space="preserve">          6314 - LIABILITY INSURANCE</v>
      </c>
      <c r="C38" s="11"/>
      <c r="D38" s="7">
        <v>76.569999999999993</v>
      </c>
      <c r="E38" s="2"/>
      <c r="F38" s="6">
        <f t="shared" si="16"/>
        <v>0</v>
      </c>
      <c r="G38" s="2"/>
      <c r="H38" s="7">
        <v>56.34</v>
      </c>
      <c r="I38" s="2"/>
      <c r="J38" s="6">
        <f t="shared" si="17"/>
        <v>0</v>
      </c>
      <c r="K38" s="2"/>
      <c r="L38" s="7">
        <f t="shared" si="18"/>
        <v>20.22999999999999</v>
      </c>
      <c r="M38" s="2"/>
      <c r="N38" s="6">
        <f t="shared" si="19"/>
        <v>0.35906993255236047</v>
      </c>
      <c r="O38" s="11"/>
      <c r="P38" s="7">
        <v>535.99</v>
      </c>
      <c r="Q38" s="2"/>
      <c r="R38" s="6">
        <f t="shared" si="20"/>
        <v>0</v>
      </c>
      <c r="S38" s="2"/>
      <c r="T38" s="7">
        <v>394.38</v>
      </c>
      <c r="U38" s="2"/>
      <c r="V38" s="6">
        <f t="shared" si="21"/>
        <v>0</v>
      </c>
      <c r="W38" s="2"/>
      <c r="X38" s="7">
        <f t="shared" si="22"/>
        <v>141.61000000000001</v>
      </c>
      <c r="Y38" s="2"/>
      <c r="Z38" s="6">
        <f t="shared" si="23"/>
        <v>0.35906993255236069</v>
      </c>
    </row>
    <row r="39" spans="1:26" s="29" customFormat="1" outlineLevel="1" collapsed="1" x14ac:dyDescent="0.3">
      <c r="A39" s="28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SUM(OSRRefD22_5x_0)</f>
        <v>9534.9500000000007</v>
      </c>
      <c r="E39" s="1"/>
      <c r="F39" s="5">
        <f t="shared" si="16"/>
        <v>0</v>
      </c>
      <c r="G39" s="1"/>
      <c r="H39" s="1">
        <f>SUM(OSRRefH22_5x_0)</f>
        <v>11992</v>
      </c>
      <c r="I39" s="1"/>
      <c r="J39" s="5">
        <f t="shared" si="17"/>
        <v>0</v>
      </c>
      <c r="K39" s="1"/>
      <c r="L39" s="1">
        <f t="shared" si="18"/>
        <v>-2457.0499999999993</v>
      </c>
      <c r="M39" s="1"/>
      <c r="N39" s="5">
        <f t="shared" si="19"/>
        <v>-0.20489076050700461</v>
      </c>
      <c r="O39" s="14"/>
      <c r="P39" s="1">
        <f>SUM(OSRRefP22_5x_0)</f>
        <v>70592.180000000008</v>
      </c>
      <c r="Q39" s="1"/>
      <c r="R39" s="5">
        <f t="shared" si="20"/>
        <v>0</v>
      </c>
      <c r="S39" s="1"/>
      <c r="T39" s="1">
        <f>SUM(OSRRefT22_5x_0)</f>
        <v>83160.160000000003</v>
      </c>
      <c r="U39" s="1"/>
      <c r="V39" s="5">
        <f t="shared" si="21"/>
        <v>0</v>
      </c>
      <c r="W39" s="1"/>
      <c r="X39" s="1">
        <f t="shared" si="22"/>
        <v>-12567.979999999996</v>
      </c>
      <c r="Y39" s="1"/>
      <c r="Z39" s="5">
        <f t="shared" si="23"/>
        <v>-0.1511298198560464</v>
      </c>
    </row>
    <row r="40" spans="1:26" s="24" customFormat="1" hidden="1" outlineLevel="2" x14ac:dyDescent="0.3">
      <c r="A40" s="27"/>
      <c r="B40" s="11" t="str">
        <f>CONCATENATE("          ", "6371", " - ", "COMPUTER SOFTWARE MAINTENANCE")</f>
        <v xml:space="preserve">          6371 - COMPUTER SOFTWARE MAINTENANCE</v>
      </c>
      <c r="C40" s="11"/>
      <c r="D40" s="7">
        <v>68.95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68.95</v>
      </c>
      <c r="M40" s="2"/>
      <c r="N40" s="6">
        <f t="shared" si="19"/>
        <v>0</v>
      </c>
      <c r="O40" s="11"/>
      <c r="P40" s="7">
        <v>1892.95</v>
      </c>
      <c r="Q40" s="2"/>
      <c r="R40" s="6">
        <f t="shared" si="20"/>
        <v>0</v>
      </c>
      <c r="S40" s="2"/>
      <c r="T40" s="7">
        <v>416.16</v>
      </c>
      <c r="U40" s="2"/>
      <c r="V40" s="6">
        <f t="shared" si="21"/>
        <v>0</v>
      </c>
      <c r="W40" s="2"/>
      <c r="X40" s="7">
        <f t="shared" si="22"/>
        <v>1476.79</v>
      </c>
      <c r="Y40" s="2"/>
      <c r="Z40" s="6">
        <f t="shared" si="23"/>
        <v>3.5486111111111107</v>
      </c>
    </row>
    <row r="41" spans="1:26" s="24" customFormat="1" hidden="1" outlineLevel="2" x14ac:dyDescent="0.3">
      <c r="A41" s="27"/>
      <c r="B41" s="11" t="str">
        <f>CONCATENATE("          ", "6372", " - ", "COMPUTER HARDWARE MAINTENANCE")</f>
        <v xml:space="preserve">          6372 - COMPUTER HARDWARE MAINTENANCE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4760.47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4760.47</v>
      </c>
      <c r="Y41" s="2"/>
      <c r="Z41" s="6">
        <f t="shared" si="23"/>
        <v>0</v>
      </c>
    </row>
    <row r="42" spans="1:26" s="24" customFormat="1" hidden="1" outlineLevel="2" x14ac:dyDescent="0.3">
      <c r="A42" s="27"/>
      <c r="B42" s="11" t="str">
        <f>CONCATENATE("          ", "6373", " - ", "MAINTENANCE CONTRACTS")</f>
        <v xml:space="preserve">          6373 - MAINTENANCE CONTRACTS</v>
      </c>
      <c r="C42" s="11"/>
      <c r="D42" s="7">
        <v>9466</v>
      </c>
      <c r="E42" s="2"/>
      <c r="F42" s="6">
        <f t="shared" si="16"/>
        <v>0</v>
      </c>
      <c r="G42" s="2"/>
      <c r="H42" s="7">
        <v>11992</v>
      </c>
      <c r="I42" s="2"/>
      <c r="J42" s="6">
        <f t="shared" si="17"/>
        <v>0</v>
      </c>
      <c r="K42" s="2"/>
      <c r="L42" s="7">
        <f t="shared" si="18"/>
        <v>-2526</v>
      </c>
      <c r="M42" s="2"/>
      <c r="N42" s="6">
        <f t="shared" si="19"/>
        <v>-0.21064042695130086</v>
      </c>
      <c r="O42" s="11"/>
      <c r="P42" s="7">
        <v>63891.24</v>
      </c>
      <c r="Q42" s="2"/>
      <c r="R42" s="6">
        <f t="shared" si="20"/>
        <v>0</v>
      </c>
      <c r="S42" s="2"/>
      <c r="T42" s="7">
        <v>82744</v>
      </c>
      <c r="U42" s="2"/>
      <c r="V42" s="6">
        <f t="shared" si="21"/>
        <v>0</v>
      </c>
      <c r="W42" s="2"/>
      <c r="X42" s="7">
        <f t="shared" si="22"/>
        <v>-18852.760000000002</v>
      </c>
      <c r="Y42" s="2"/>
      <c r="Z42" s="6">
        <f t="shared" si="23"/>
        <v>-0.22784443585033359</v>
      </c>
    </row>
    <row r="43" spans="1:26" s="24" customFormat="1" hidden="1" outlineLevel="2" x14ac:dyDescent="0.3">
      <c r="A43" s="27"/>
      <c r="B43" s="11" t="str">
        <f>CONCATENATE("          ", "6375", " - ", "OUTSIDE REPAIRS &amp; MAINTENANCE")</f>
        <v xml:space="preserve">          6375 - OUTSIDE REPAIRS &amp; MAINTENANCE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47.52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47.52</v>
      </c>
      <c r="Y43" s="2"/>
      <c r="Z43" s="6">
        <f t="shared" si="23"/>
        <v>0</v>
      </c>
    </row>
    <row r="44" spans="1:26" s="29" customFormat="1" outlineLevel="1" collapsed="1" x14ac:dyDescent="0.3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SUM(OSRRefD22_6x_0)</f>
        <v>3053.69</v>
      </c>
      <c r="E44" s="1"/>
      <c r="F44" s="5">
        <f t="shared" ref="F44:F48" si="24">IF(D$12=0,0,D44/D$12)</f>
        <v>0</v>
      </c>
      <c r="G44" s="1"/>
      <c r="H44" s="1">
        <f>SUM(OSRRefH22_6x_0)</f>
        <v>178.65</v>
      </c>
      <c r="I44" s="1"/>
      <c r="J44" s="5">
        <f t="shared" ref="J44:J48" si="25">IF(H$12=0,0,H44/H$12)</f>
        <v>0</v>
      </c>
      <c r="K44" s="1"/>
      <c r="L44" s="1">
        <f t="shared" ref="L44:L48" si="26">+D44-H44</f>
        <v>2875.04</v>
      </c>
      <c r="M44" s="1"/>
      <c r="N44" s="5">
        <f t="shared" ref="N44:N48" si="27">IF(H44=0,0,L44/H44)</f>
        <v>16.093143017072489</v>
      </c>
      <c r="O44" s="14"/>
      <c r="P44" s="1">
        <f>SUM(OSRRefP22_6x_0)</f>
        <v>4409.26</v>
      </c>
      <c r="Q44" s="1"/>
      <c r="R44" s="5">
        <f t="shared" ref="R44:R48" si="28">IF(P$12=0,0,P44/P$12)</f>
        <v>0</v>
      </c>
      <c r="S44" s="1"/>
      <c r="T44" s="1">
        <f>SUM(OSRRefT22_6x_0)</f>
        <v>-2825.53</v>
      </c>
      <c r="U44" s="1"/>
      <c r="V44" s="5">
        <f t="shared" ref="V44:V48" si="29">IF(T$12=0,0,T44/T$12)</f>
        <v>0</v>
      </c>
      <c r="W44" s="1"/>
      <c r="X44" s="1">
        <f t="shared" ref="X44:X48" si="30">+P44-T44</f>
        <v>7234.7900000000009</v>
      </c>
      <c r="Y44" s="1"/>
      <c r="Z44" s="5">
        <f t="shared" ref="Z44:Z48" si="31">IF(T44=0,0,X44/T44)</f>
        <v>-2.5605072322714677</v>
      </c>
    </row>
    <row r="45" spans="1:26" s="24" customFormat="1" hidden="1" outlineLevel="2" x14ac:dyDescent="0.3">
      <c r="A45" s="27"/>
      <c r="B45" s="11" t="str">
        <f>CONCATENATE("          ", "6241", " - ", "OFFICE EXPENSE")</f>
        <v xml:space="preserve">          6241 - OFFICE EXPENSE</v>
      </c>
      <c r="C45" s="11"/>
      <c r="D45" s="7">
        <v>3053.69</v>
      </c>
      <c r="E45" s="2"/>
      <c r="F45" s="6">
        <f t="shared" si="24"/>
        <v>0</v>
      </c>
      <c r="G45" s="2"/>
      <c r="H45" s="7">
        <v>178.65</v>
      </c>
      <c r="I45" s="2"/>
      <c r="J45" s="6">
        <f t="shared" si="25"/>
        <v>0</v>
      </c>
      <c r="K45" s="2"/>
      <c r="L45" s="7">
        <f t="shared" si="26"/>
        <v>2875.04</v>
      </c>
      <c r="M45" s="2"/>
      <c r="N45" s="6">
        <f t="shared" si="27"/>
        <v>16.093143017072489</v>
      </c>
      <c r="O45" s="11"/>
      <c r="P45" s="7">
        <v>4409.26</v>
      </c>
      <c r="Q45" s="2"/>
      <c r="R45" s="6">
        <f t="shared" si="28"/>
        <v>0</v>
      </c>
      <c r="S45" s="2"/>
      <c r="T45" s="7">
        <v>-2825.53</v>
      </c>
      <c r="U45" s="2"/>
      <c r="V45" s="6">
        <f t="shared" si="29"/>
        <v>0</v>
      </c>
      <c r="W45" s="2"/>
      <c r="X45" s="7">
        <f t="shared" si="30"/>
        <v>7234.7900000000009</v>
      </c>
      <c r="Y45" s="2"/>
      <c r="Z45" s="6">
        <f t="shared" si="31"/>
        <v>-2.5605072322714677</v>
      </c>
    </row>
    <row r="46" spans="1:26" s="29" customFormat="1" outlineLevel="1" collapsed="1" x14ac:dyDescent="0.3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SUM(OSRRefD22_7x_0)</f>
        <v>835.38</v>
      </c>
      <c r="E46" s="1"/>
      <c r="F46" s="5">
        <f t="shared" si="24"/>
        <v>0</v>
      </c>
      <c r="G46" s="1"/>
      <c r="H46" s="1">
        <f>SUM(OSRRefH22_7x_0)</f>
        <v>614.14</v>
      </c>
      <c r="I46" s="1"/>
      <c r="J46" s="5">
        <f t="shared" si="25"/>
        <v>0</v>
      </c>
      <c r="K46" s="1"/>
      <c r="L46" s="1">
        <f t="shared" si="26"/>
        <v>221.24</v>
      </c>
      <c r="M46" s="1"/>
      <c r="N46" s="5">
        <f t="shared" si="27"/>
        <v>0.36024359266616734</v>
      </c>
      <c r="O46" s="14"/>
      <c r="P46" s="1">
        <f>SUM(OSRRefP22_7x_0)</f>
        <v>5745.72</v>
      </c>
      <c r="Q46" s="1"/>
      <c r="R46" s="5">
        <f t="shared" si="28"/>
        <v>0</v>
      </c>
      <c r="S46" s="1"/>
      <c r="T46" s="1">
        <f>SUM(OSRRefT22_7x_0)</f>
        <v>5712.68</v>
      </c>
      <c r="U46" s="1"/>
      <c r="V46" s="5">
        <f t="shared" si="29"/>
        <v>0</v>
      </c>
      <c r="W46" s="1"/>
      <c r="X46" s="1">
        <f t="shared" si="30"/>
        <v>33.039999999999964</v>
      </c>
      <c r="Y46" s="1"/>
      <c r="Z46" s="5">
        <f t="shared" si="31"/>
        <v>5.7836251986808224E-3</v>
      </c>
    </row>
    <row r="47" spans="1:26" s="24" customFormat="1" hidden="1" outlineLevel="2" x14ac:dyDescent="0.3">
      <c r="A47" s="27"/>
      <c r="B47" s="11" t="str">
        <f>CONCATENATE("          ", "6303", " - ", "DATA PHONE LINES")</f>
        <v xml:space="preserve">          6303 - DATA PHONE LINES</v>
      </c>
      <c r="C47" s="11"/>
      <c r="D47" s="7">
        <v>171.98</v>
      </c>
      <c r="E47" s="2"/>
      <c r="F47" s="6">
        <f t="shared" si="24"/>
        <v>0</v>
      </c>
      <c r="G47" s="2"/>
      <c r="H47" s="7">
        <v>158.97999999999999</v>
      </c>
      <c r="I47" s="2"/>
      <c r="J47" s="6">
        <f t="shared" si="25"/>
        <v>0</v>
      </c>
      <c r="K47" s="2"/>
      <c r="L47" s="7">
        <f t="shared" si="26"/>
        <v>13</v>
      </c>
      <c r="M47" s="2"/>
      <c r="N47" s="6">
        <f t="shared" si="27"/>
        <v>8.1771291986413391E-2</v>
      </c>
      <c r="O47" s="11"/>
      <c r="P47" s="7">
        <v>1081.8699999999999</v>
      </c>
      <c r="Q47" s="2"/>
      <c r="R47" s="6">
        <f t="shared" si="28"/>
        <v>0</v>
      </c>
      <c r="S47" s="2"/>
      <c r="T47" s="7">
        <v>923.88</v>
      </c>
      <c r="U47" s="2"/>
      <c r="V47" s="6">
        <f t="shared" si="29"/>
        <v>0</v>
      </c>
      <c r="W47" s="2"/>
      <c r="X47" s="7">
        <f t="shared" si="30"/>
        <v>157.9899999999999</v>
      </c>
      <c r="Y47" s="2"/>
      <c r="Z47" s="6">
        <f t="shared" si="31"/>
        <v>0.17100705719357481</v>
      </c>
    </row>
    <row r="48" spans="1:26" s="24" customFormat="1" hidden="1" outlineLevel="2" x14ac:dyDescent="0.3">
      <c r="A48" s="27"/>
      <c r="B48" s="11" t="str">
        <f>CONCATENATE("          ", "6309", " - ", "TELEPHONE")</f>
        <v xml:space="preserve">          6309 - TELEPHONE</v>
      </c>
      <c r="C48" s="11"/>
      <c r="D48" s="7">
        <v>663.4</v>
      </c>
      <c r="E48" s="2"/>
      <c r="F48" s="6">
        <f t="shared" si="24"/>
        <v>0</v>
      </c>
      <c r="G48" s="2"/>
      <c r="H48" s="7">
        <v>455.16</v>
      </c>
      <c r="I48" s="2"/>
      <c r="J48" s="6">
        <f t="shared" si="25"/>
        <v>0</v>
      </c>
      <c r="K48" s="2"/>
      <c r="L48" s="7">
        <f t="shared" si="26"/>
        <v>208.23999999999995</v>
      </c>
      <c r="M48" s="2"/>
      <c r="N48" s="6">
        <f t="shared" si="27"/>
        <v>0.45750944722734849</v>
      </c>
      <c r="O48" s="11"/>
      <c r="P48" s="7">
        <v>4663.8500000000004</v>
      </c>
      <c r="Q48" s="2"/>
      <c r="R48" s="6">
        <f t="shared" si="28"/>
        <v>0</v>
      </c>
      <c r="S48" s="2"/>
      <c r="T48" s="7">
        <v>4788.8</v>
      </c>
      <c r="U48" s="2"/>
      <c r="V48" s="6">
        <f t="shared" si="29"/>
        <v>0</v>
      </c>
      <c r="W48" s="2"/>
      <c r="X48" s="7">
        <f t="shared" si="30"/>
        <v>-124.94999999999982</v>
      </c>
      <c r="Y48" s="2"/>
      <c r="Z48" s="6">
        <f t="shared" si="31"/>
        <v>-2.6092131640494447E-2</v>
      </c>
    </row>
    <row r="49" spans="1:26" s="29" customFormat="1" outlineLevel="1" collapsed="1" x14ac:dyDescent="0.3">
      <c r="A49" s="28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SUM(OSRRefD22_8x_0)</f>
        <v>0</v>
      </c>
      <c r="E49" s="1"/>
      <c r="F49" s="5">
        <f t="shared" ref="F49:F52" si="32">IF(D$12=0,0,D49/D$12)</f>
        <v>0</v>
      </c>
      <c r="G49" s="1"/>
      <c r="H49" s="1">
        <f>SUM(OSRRefH22_8x_0)</f>
        <v>0</v>
      </c>
      <c r="I49" s="1"/>
      <c r="J49" s="5">
        <f t="shared" ref="J49:J52" si="33">IF(H$12=0,0,H49/H$12)</f>
        <v>0</v>
      </c>
      <c r="K49" s="1"/>
      <c r="L49" s="1">
        <f t="shared" ref="L49:L52" si="34">+D49-H49</f>
        <v>0</v>
      </c>
      <c r="M49" s="1"/>
      <c r="N49" s="5">
        <f t="shared" ref="N49:N52" si="35">IF(H49=0,0,L49/H49)</f>
        <v>0</v>
      </c>
      <c r="O49" s="14"/>
      <c r="P49" s="1">
        <f>SUM(OSRRefP22_8x_0)</f>
        <v>99</v>
      </c>
      <c r="Q49" s="1"/>
      <c r="R49" s="5">
        <f t="shared" ref="R49:R52" si="36">IF(P$12=0,0,P49/P$12)</f>
        <v>0</v>
      </c>
      <c r="S49" s="1"/>
      <c r="T49" s="1">
        <f>SUM(OSRRefT22_8x_0)</f>
        <v>99</v>
      </c>
      <c r="U49" s="1"/>
      <c r="V49" s="5">
        <f t="shared" ref="V49:V52" si="37">IF(T$12=0,0,T49/T$12)</f>
        <v>0</v>
      </c>
      <c r="W49" s="1"/>
      <c r="X49" s="1">
        <f t="shared" ref="X49:X52" si="38">+P49-T49</f>
        <v>0</v>
      </c>
      <c r="Y49" s="1"/>
      <c r="Z49" s="5">
        <f t="shared" ref="Z49:Z52" si="39">IF(T49=0,0,X49/T49)</f>
        <v>0</v>
      </c>
    </row>
    <row r="50" spans="1:26" s="24" customFormat="1" hidden="1" outlineLevel="2" x14ac:dyDescent="0.3">
      <c r="A50" s="27"/>
      <c r="B50" s="11" t="str">
        <f>CONCATENATE("          ", "6376", " - ", "TRAINING")</f>
        <v xml:space="preserve">          6376 - TRAINING</v>
      </c>
      <c r="C50" s="11"/>
      <c r="D50" s="7"/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0</v>
      </c>
      <c r="M50" s="2"/>
      <c r="N50" s="6">
        <f t="shared" si="35"/>
        <v>0</v>
      </c>
      <c r="O50" s="11"/>
      <c r="P50" s="7">
        <v>99</v>
      </c>
      <c r="Q50" s="2"/>
      <c r="R50" s="6">
        <f t="shared" si="36"/>
        <v>0</v>
      </c>
      <c r="S50" s="2"/>
      <c r="T50" s="7">
        <v>99</v>
      </c>
      <c r="U50" s="2"/>
      <c r="V50" s="6">
        <f t="shared" si="37"/>
        <v>0</v>
      </c>
      <c r="W50" s="2"/>
      <c r="X50" s="7">
        <f t="shared" si="38"/>
        <v>0</v>
      </c>
      <c r="Y50" s="2"/>
      <c r="Z50" s="6">
        <f t="shared" si="39"/>
        <v>0</v>
      </c>
    </row>
    <row r="51" spans="1:26" s="29" customFormat="1" outlineLevel="1" collapsed="1" x14ac:dyDescent="0.3">
      <c r="A51" s="28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SUM(OSRRefD22_9x_0)</f>
        <v>0</v>
      </c>
      <c r="E51" s="1"/>
      <c r="F51" s="5">
        <f t="shared" si="32"/>
        <v>0</v>
      </c>
      <c r="G51" s="1"/>
      <c r="H51" s="1">
        <f>SUM(OSRRefH22_9x_0)</f>
        <v>0</v>
      </c>
      <c r="I51" s="1"/>
      <c r="J51" s="5">
        <f t="shared" si="33"/>
        <v>0</v>
      </c>
      <c r="K51" s="1"/>
      <c r="L51" s="1">
        <f t="shared" si="34"/>
        <v>0</v>
      </c>
      <c r="M51" s="1"/>
      <c r="N51" s="5">
        <f t="shared" si="35"/>
        <v>0</v>
      </c>
      <c r="O51" s="14"/>
      <c r="P51" s="1">
        <f>SUM(OSRRefP22_9x_0)</f>
        <v>0</v>
      </c>
      <c r="Q51" s="1"/>
      <c r="R51" s="5">
        <f t="shared" si="36"/>
        <v>0</v>
      </c>
      <c r="S51" s="1"/>
      <c r="T51" s="1">
        <f>SUM(OSRRefT22_9x_0)</f>
        <v>0</v>
      </c>
      <c r="U51" s="1"/>
      <c r="V51" s="5">
        <f t="shared" si="37"/>
        <v>0</v>
      </c>
      <c r="W51" s="1"/>
      <c r="X51" s="1">
        <f t="shared" si="38"/>
        <v>0</v>
      </c>
      <c r="Y51" s="1"/>
      <c r="Z51" s="5">
        <f t="shared" si="39"/>
        <v>0</v>
      </c>
    </row>
    <row r="52" spans="1:26" s="24" customFormat="1" hidden="1" outlineLevel="2" x14ac:dyDescent="0.3">
      <c r="A52" s="27"/>
      <c r="B52" s="11" t="str">
        <f>CONCATENATE("          ", "6292", " - ", "TRAVEL/CONFERENCE")</f>
        <v xml:space="preserve">          6292 - TRAVEL/CONFERENCE</v>
      </c>
      <c r="C52" s="11"/>
      <c r="D52" s="7">
        <v>0</v>
      </c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>
        <v>0</v>
      </c>
      <c r="Q52" s="2"/>
      <c r="R52" s="6">
        <f t="shared" si="36"/>
        <v>0</v>
      </c>
      <c r="S52" s="2"/>
      <c r="T52" s="7"/>
      <c r="U52" s="2"/>
      <c r="V52" s="6">
        <f t="shared" si="37"/>
        <v>0</v>
      </c>
      <c r="W52" s="2"/>
      <c r="X52" s="7">
        <f t="shared" si="38"/>
        <v>0</v>
      </c>
      <c r="Y52" s="2"/>
      <c r="Z52" s="6">
        <f t="shared" si="39"/>
        <v>0</v>
      </c>
    </row>
    <row r="53" spans="1:26" s="52" customFormat="1" x14ac:dyDescent="0.3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">
      <c r="A54" s="10"/>
      <c r="B54" s="26" t="s">
        <v>292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3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">
      <c r="A56" s="10"/>
      <c r="B56" s="25" t="s">
        <v>276</v>
      </c>
      <c r="C56" s="25"/>
      <c r="D56" s="21">
        <f>+D16-D18+D54</f>
        <v>-50768.030000000006</v>
      </c>
      <c r="E56" s="13"/>
      <c r="F56" s="22">
        <f>IF(D$12=0,0,D56/D$12)</f>
        <v>0</v>
      </c>
      <c r="G56" s="13"/>
      <c r="H56" s="21">
        <f>+H16-H18+H54</f>
        <v>-50620.130000000005</v>
      </c>
      <c r="I56" s="13"/>
      <c r="J56" s="22">
        <f>IF(H$12=0,0,H56/H$12)</f>
        <v>0</v>
      </c>
      <c r="K56" s="15"/>
      <c r="L56" s="21">
        <f>+D56-H56</f>
        <v>-147.90000000000146</v>
      </c>
      <c r="M56" s="15"/>
      <c r="N56" s="22">
        <f>IF(H56=0,0,L56/H56)</f>
        <v>2.9217625478243823E-3</v>
      </c>
      <c r="O56" s="26"/>
      <c r="P56" s="21">
        <f>+P16-P18+P54</f>
        <v>-318727.39</v>
      </c>
      <c r="Q56" s="13"/>
      <c r="R56" s="22">
        <f>IF(P$12=0,0,P56/P$12)</f>
        <v>0</v>
      </c>
      <c r="S56" s="13"/>
      <c r="T56" s="21">
        <f>+T16-T18+T54</f>
        <v>-357175.36999999994</v>
      </c>
      <c r="U56" s="13"/>
      <c r="V56" s="22">
        <f>IF(T$12=0,0,T56/T$12)</f>
        <v>0</v>
      </c>
      <c r="W56" s="15"/>
      <c r="X56" s="21">
        <f>+P56-T56</f>
        <v>38447.979999999923</v>
      </c>
      <c r="Y56" s="15"/>
      <c r="Z56" s="22">
        <f>IF(T56=0,0,X56/T56)</f>
        <v>-0.10764454447124933</v>
      </c>
    </row>
    <row r="57" spans="1:26" x14ac:dyDescent="0.3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">
      <c r="A58" s="51"/>
      <c r="B58" s="10" t="s">
        <v>127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" thickBot="1" x14ac:dyDescent="0.35">
      <c r="A60" s="10"/>
      <c r="B60" s="25" t="s">
        <v>125</v>
      </c>
      <c r="C60" s="25"/>
      <c r="D60" s="36">
        <f>+D56-D58</f>
        <v>-50768.030000000006</v>
      </c>
      <c r="E60" s="13"/>
      <c r="F60" s="31">
        <f>IF(D$12=0,0,D60/D$12)</f>
        <v>0</v>
      </c>
      <c r="G60" s="13"/>
      <c r="H60" s="36">
        <f>+H56-H58</f>
        <v>-50620.130000000005</v>
      </c>
      <c r="I60" s="13"/>
      <c r="J60" s="31">
        <f>IF(H$12=0,0,H60/H$12)</f>
        <v>0</v>
      </c>
      <c r="K60" s="15"/>
      <c r="L60" s="36">
        <f>D60-H60</f>
        <v>-147.90000000000146</v>
      </c>
      <c r="M60" s="15"/>
      <c r="N60" s="31">
        <f>IF(H60=0,0,L60/H60)</f>
        <v>2.9217625478243823E-3</v>
      </c>
      <c r="O60" s="26"/>
      <c r="P60" s="36">
        <f>+P56-P58</f>
        <v>-318727.39</v>
      </c>
      <c r="Q60" s="13"/>
      <c r="R60" s="31">
        <f>IF(P$12=0,0,P60/P$12)</f>
        <v>0</v>
      </c>
      <c r="S60" s="13"/>
      <c r="T60" s="36">
        <f>+T56-T58</f>
        <v>-357175.36999999994</v>
      </c>
      <c r="U60" s="13"/>
      <c r="V60" s="31">
        <f>IF(T$12=0,0,T60/T$12)</f>
        <v>0</v>
      </c>
      <c r="W60" s="15"/>
      <c r="X60" s="36">
        <f>P60-T60</f>
        <v>38447.979999999923</v>
      </c>
      <c r="Y60" s="15"/>
      <c r="Z60" s="31">
        <f>IF(T60=0,0,X60/T60)</f>
        <v>-0.10764454447124933</v>
      </c>
    </row>
    <row r="61" spans="1:26" ht="15" thickTop="1" x14ac:dyDescent="0.3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35">
      <c r="A63" s="10"/>
      <c r="B63" s="25" t="s">
        <v>293</v>
      </c>
      <c r="C63" s="25"/>
      <c r="D63" s="35">
        <f>SUM(D60:D62)</f>
        <v>-50768.030000000006</v>
      </c>
      <c r="E63" s="13"/>
      <c r="F63" s="32">
        <f>IF(D$12=0,0,D63/D$12)</f>
        <v>0</v>
      </c>
      <c r="G63" s="13"/>
      <c r="H63" s="35">
        <f>SUM(H60:H62)</f>
        <v>-50620.130000000005</v>
      </c>
      <c r="I63" s="13"/>
      <c r="J63" s="32">
        <f>IF(H$12=0,0,H63/H$12)</f>
        <v>0</v>
      </c>
      <c r="K63" s="15"/>
      <c r="L63" s="35">
        <f>+D63-H63</f>
        <v>-147.90000000000146</v>
      </c>
      <c r="M63" s="15"/>
      <c r="N63" s="32">
        <f>IF(H63=0,0,L63/H63)</f>
        <v>2.9217625478243823E-3</v>
      </c>
      <c r="O63" s="26"/>
      <c r="P63" s="35">
        <f>SUM(P60:P62)</f>
        <v>-318727.39</v>
      </c>
      <c r="Q63" s="13"/>
      <c r="R63" s="32">
        <f>IF(P$12=0,0,P63/P$12)</f>
        <v>0</v>
      </c>
      <c r="S63" s="13"/>
      <c r="T63" s="35">
        <f>SUM(T60:T62)</f>
        <v>-357175.36999999994</v>
      </c>
      <c r="U63" s="13"/>
      <c r="V63" s="32">
        <f>IF(T$12=0,0,T63/T$12)</f>
        <v>0</v>
      </c>
      <c r="W63" s="15"/>
      <c r="X63" s="35">
        <f>+P63-T63</f>
        <v>38447.979999999923</v>
      </c>
      <c r="Y63" s="15"/>
      <c r="Z63" s="32">
        <f>IF(T63=0,0,X63/T63)</f>
        <v>-0.10764454447124933</v>
      </c>
    </row>
    <row r="64" spans="1:26" ht="15" thickTop="1" x14ac:dyDescent="0.3">
      <c r="A64" s="9"/>
      <c r="C64" s="9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3">
      <c r="A65" s="9"/>
      <c r="B65" s="54">
        <v>44604.028475694446</v>
      </c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3">
      <c r="A66" s="9"/>
      <c r="B66" s="53" t="s">
        <v>56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3">
      <c r="A67" s="9"/>
      <c r="B67" s="59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3"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","205", " - ", "Maintenance")</f>
        <v>Department 205 - Maintenance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12857.57</v>
      </c>
      <c r="E18" s="20"/>
      <c r="F18" s="30">
        <f t="shared" ref="F18:F27" si="0">IF(D$12=0,0,D18/D$12)</f>
        <v>0</v>
      </c>
      <c r="G18" s="20"/>
      <c r="H18" s="20">
        <f>SUM(OSRRefH22x_0)</f>
        <v>8201.44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4656.1299999999992</v>
      </c>
      <c r="M18" s="4"/>
      <c r="N18" s="30">
        <f t="shared" ref="N18:N27" si="3">IF(H18=0,0,L18/H18)</f>
        <v>0.56772103435494237</v>
      </c>
      <c r="O18" s="10"/>
      <c r="P18" s="20">
        <f>SUM(OSRRefP22x_0)</f>
        <v>58590.859999999993</v>
      </c>
      <c r="Q18" s="20"/>
      <c r="R18" s="30">
        <f t="shared" ref="R18:R27" si="4">IF(P$12=0,0,P18/P$12)</f>
        <v>0</v>
      </c>
      <c r="S18" s="20"/>
      <c r="T18" s="20">
        <f>SUM(OSRRefT22x_0)</f>
        <v>55789.599999999991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2801.260000000002</v>
      </c>
      <c r="Y18" s="4"/>
      <c r="Z18" s="30">
        <f t="shared" ref="Z18:Z27" si="7">IF(T18=0,0,X18/T18)</f>
        <v>5.0211150465319744E-2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3743.08</v>
      </c>
      <c r="E19" s="1"/>
      <c r="F19" s="5">
        <f t="shared" si="0"/>
        <v>0</v>
      </c>
      <c r="G19" s="1"/>
      <c r="H19" s="1">
        <f>SUM(OSRRefH22_0x_0)</f>
        <v>2535.9499999999998</v>
      </c>
      <c r="I19" s="1"/>
      <c r="J19" s="5">
        <f t="shared" si="1"/>
        <v>0</v>
      </c>
      <c r="K19" s="1"/>
      <c r="L19" s="1">
        <f t="shared" si="2"/>
        <v>1207.1300000000001</v>
      </c>
      <c r="M19" s="1"/>
      <c r="N19" s="5">
        <f t="shared" si="3"/>
        <v>0.47600701906583337</v>
      </c>
      <c r="O19" s="14"/>
      <c r="P19" s="1">
        <f>SUM(OSRRefP22_0x_0)</f>
        <v>18997.09</v>
      </c>
      <c r="Q19" s="1"/>
      <c r="R19" s="5">
        <f t="shared" si="4"/>
        <v>0</v>
      </c>
      <c r="S19" s="1"/>
      <c r="T19" s="1">
        <f>SUM(OSRRefT22_0x_0)</f>
        <v>17419.010000000002</v>
      </c>
      <c r="U19" s="1"/>
      <c r="V19" s="5">
        <f t="shared" si="5"/>
        <v>0</v>
      </c>
      <c r="W19" s="1"/>
      <c r="X19" s="1">
        <f t="shared" si="6"/>
        <v>1578.0799999999981</v>
      </c>
      <c r="Y19" s="1"/>
      <c r="Z19" s="5">
        <f t="shared" si="7"/>
        <v>9.0595274932386963E-2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341.44</v>
      </c>
      <c r="E20" s="2"/>
      <c r="F20" s="6">
        <f t="shared" si="0"/>
        <v>0</v>
      </c>
      <c r="G20" s="2"/>
      <c r="H20" s="7">
        <v>322.3</v>
      </c>
      <c r="I20" s="2"/>
      <c r="J20" s="6">
        <f t="shared" si="1"/>
        <v>0</v>
      </c>
      <c r="K20" s="2"/>
      <c r="L20" s="7">
        <f t="shared" si="2"/>
        <v>19.139999999999986</v>
      </c>
      <c r="M20" s="2"/>
      <c r="N20" s="6">
        <f t="shared" si="3"/>
        <v>5.9385665529010194E-2</v>
      </c>
      <c r="O20" s="11"/>
      <c r="P20" s="7">
        <v>2491.54</v>
      </c>
      <c r="Q20" s="2"/>
      <c r="R20" s="6">
        <f t="shared" si="4"/>
        <v>0</v>
      </c>
      <c r="S20" s="2"/>
      <c r="T20" s="7">
        <v>2381.7600000000002</v>
      </c>
      <c r="U20" s="2"/>
      <c r="V20" s="6">
        <f t="shared" si="5"/>
        <v>0</v>
      </c>
      <c r="W20" s="2"/>
      <c r="X20" s="7">
        <f t="shared" si="6"/>
        <v>109.77999999999975</v>
      </c>
      <c r="Y20" s="2"/>
      <c r="Z20" s="6">
        <f t="shared" si="7"/>
        <v>4.6091965605266585E-2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246.44</v>
      </c>
      <c r="E21" s="2"/>
      <c r="F21" s="6">
        <f t="shared" si="0"/>
        <v>0</v>
      </c>
      <c r="G21" s="2"/>
      <c r="H21" s="7">
        <v>151.37</v>
      </c>
      <c r="I21" s="2"/>
      <c r="J21" s="6">
        <f t="shared" si="1"/>
        <v>0</v>
      </c>
      <c r="K21" s="2"/>
      <c r="L21" s="7">
        <f t="shared" si="2"/>
        <v>95.07</v>
      </c>
      <c r="M21" s="2"/>
      <c r="N21" s="6">
        <f t="shared" si="3"/>
        <v>0.62806368501023979</v>
      </c>
      <c r="O21" s="11"/>
      <c r="P21" s="7">
        <v>1792.66</v>
      </c>
      <c r="Q21" s="2"/>
      <c r="R21" s="6">
        <f t="shared" si="4"/>
        <v>0</v>
      </c>
      <c r="S21" s="2"/>
      <c r="T21" s="7">
        <v>2156.73</v>
      </c>
      <c r="U21" s="2"/>
      <c r="V21" s="6">
        <f t="shared" si="5"/>
        <v>0</v>
      </c>
      <c r="W21" s="2"/>
      <c r="X21" s="7">
        <f t="shared" si="6"/>
        <v>-364.06999999999994</v>
      </c>
      <c r="Y21" s="2"/>
      <c r="Z21" s="6">
        <f t="shared" si="7"/>
        <v>-0.16880648018064381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694.36</v>
      </c>
      <c r="E22" s="2"/>
      <c r="F22" s="6">
        <f t="shared" si="0"/>
        <v>0</v>
      </c>
      <c r="G22" s="2"/>
      <c r="H22" s="7">
        <v>699.91</v>
      </c>
      <c r="I22" s="2"/>
      <c r="J22" s="6">
        <f t="shared" si="1"/>
        <v>0</v>
      </c>
      <c r="K22" s="2"/>
      <c r="L22" s="7">
        <f t="shared" si="2"/>
        <v>-5.5499999999999545</v>
      </c>
      <c r="M22" s="2"/>
      <c r="N22" s="6">
        <f t="shared" si="3"/>
        <v>-7.92959094740746E-3</v>
      </c>
      <c r="O22" s="11"/>
      <c r="P22" s="7">
        <v>4882.57</v>
      </c>
      <c r="Q22" s="2"/>
      <c r="R22" s="6">
        <f t="shared" si="4"/>
        <v>0</v>
      </c>
      <c r="S22" s="2"/>
      <c r="T22" s="7">
        <v>4876.87</v>
      </c>
      <c r="U22" s="2"/>
      <c r="V22" s="6">
        <f t="shared" si="5"/>
        <v>0</v>
      </c>
      <c r="W22" s="2"/>
      <c r="X22" s="7">
        <f t="shared" si="6"/>
        <v>5.6999999999998181</v>
      </c>
      <c r="Y22" s="2"/>
      <c r="Z22" s="6">
        <f t="shared" si="7"/>
        <v>1.1687824362756887E-3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11.59</v>
      </c>
      <c r="E23" s="2"/>
      <c r="F23" s="6">
        <f t="shared" si="0"/>
        <v>0</v>
      </c>
      <c r="G23" s="2"/>
      <c r="H23" s="7">
        <v>21.78</v>
      </c>
      <c r="I23" s="2"/>
      <c r="J23" s="6">
        <f t="shared" si="1"/>
        <v>0</v>
      </c>
      <c r="K23" s="2"/>
      <c r="L23" s="7">
        <f t="shared" si="2"/>
        <v>-10.190000000000001</v>
      </c>
      <c r="M23" s="2"/>
      <c r="N23" s="6">
        <f t="shared" si="3"/>
        <v>-0.467860422405877</v>
      </c>
      <c r="O23" s="11"/>
      <c r="P23" s="7">
        <v>84.28</v>
      </c>
      <c r="Q23" s="2"/>
      <c r="R23" s="6">
        <f t="shared" si="4"/>
        <v>0</v>
      </c>
      <c r="S23" s="2"/>
      <c r="T23" s="7">
        <v>80.930000000000007</v>
      </c>
      <c r="U23" s="2"/>
      <c r="V23" s="6">
        <f t="shared" si="5"/>
        <v>0</v>
      </c>
      <c r="W23" s="2"/>
      <c r="X23" s="7">
        <f t="shared" si="6"/>
        <v>3.3499999999999943</v>
      </c>
      <c r="Y23" s="2"/>
      <c r="Z23" s="6">
        <f t="shared" si="7"/>
        <v>4.139379710861231E-2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475.21</v>
      </c>
      <c r="E24" s="2"/>
      <c r="F24" s="6">
        <f t="shared" si="0"/>
        <v>0</v>
      </c>
      <c r="G24" s="2"/>
      <c r="H24" s="7">
        <v>694.91</v>
      </c>
      <c r="I24" s="2"/>
      <c r="J24" s="6">
        <f t="shared" si="1"/>
        <v>0</v>
      </c>
      <c r="K24" s="2"/>
      <c r="L24" s="7">
        <f t="shared" si="2"/>
        <v>-219.7</v>
      </c>
      <c r="M24" s="2"/>
      <c r="N24" s="6">
        <f t="shared" si="3"/>
        <v>-0.31615604898476063</v>
      </c>
      <c r="O24" s="11"/>
      <c r="P24" s="7">
        <v>3481.82</v>
      </c>
      <c r="Q24" s="2"/>
      <c r="R24" s="6">
        <f t="shared" si="4"/>
        <v>0</v>
      </c>
      <c r="S24" s="2"/>
      <c r="T24" s="7">
        <v>3706.17</v>
      </c>
      <c r="U24" s="2"/>
      <c r="V24" s="6">
        <f t="shared" si="5"/>
        <v>0</v>
      </c>
      <c r="W24" s="2"/>
      <c r="X24" s="7">
        <f t="shared" si="6"/>
        <v>-224.34999999999991</v>
      </c>
      <c r="Y24" s="2"/>
      <c r="Z24" s="6">
        <f t="shared" si="7"/>
        <v>-6.0534190282690734E-2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846.05</v>
      </c>
      <c r="E25" s="2"/>
      <c r="F25" s="6">
        <f t="shared" si="0"/>
        <v>0</v>
      </c>
      <c r="G25" s="2"/>
      <c r="H25" s="7">
        <v>387.96</v>
      </c>
      <c r="I25" s="2"/>
      <c r="J25" s="6">
        <f t="shared" si="1"/>
        <v>0</v>
      </c>
      <c r="K25" s="2"/>
      <c r="L25" s="7">
        <f t="shared" si="2"/>
        <v>458.09</v>
      </c>
      <c r="M25" s="2"/>
      <c r="N25" s="6">
        <f t="shared" si="3"/>
        <v>1.1807660583565316</v>
      </c>
      <c r="O25" s="11"/>
      <c r="P25" s="7">
        <v>2905.31</v>
      </c>
      <c r="Q25" s="2"/>
      <c r="R25" s="6">
        <f t="shared" si="4"/>
        <v>0</v>
      </c>
      <c r="S25" s="2"/>
      <c r="T25" s="7">
        <v>1809.86</v>
      </c>
      <c r="U25" s="2"/>
      <c r="V25" s="6">
        <f t="shared" si="5"/>
        <v>0</v>
      </c>
      <c r="W25" s="2"/>
      <c r="X25" s="7">
        <f t="shared" si="6"/>
        <v>1095.45</v>
      </c>
      <c r="Y25" s="2"/>
      <c r="Z25" s="6">
        <f t="shared" si="7"/>
        <v>0.60526781076989389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955.73</v>
      </c>
      <c r="E26" s="2"/>
      <c r="F26" s="6">
        <f t="shared" si="0"/>
        <v>0</v>
      </c>
      <c r="G26" s="2"/>
      <c r="H26" s="7">
        <v>193.72</v>
      </c>
      <c r="I26" s="2"/>
      <c r="J26" s="6">
        <f t="shared" si="1"/>
        <v>0</v>
      </c>
      <c r="K26" s="2"/>
      <c r="L26" s="7">
        <f t="shared" si="2"/>
        <v>762.01</v>
      </c>
      <c r="M26" s="2"/>
      <c r="N26" s="6">
        <f t="shared" si="3"/>
        <v>3.9335639066694199</v>
      </c>
      <c r="O26" s="11"/>
      <c r="P26" s="7">
        <v>2230.39</v>
      </c>
      <c r="Q26" s="2"/>
      <c r="R26" s="6">
        <f t="shared" si="4"/>
        <v>0</v>
      </c>
      <c r="S26" s="2"/>
      <c r="T26" s="7">
        <v>1452.9</v>
      </c>
      <c r="U26" s="2"/>
      <c r="V26" s="6">
        <f t="shared" si="5"/>
        <v>0</v>
      </c>
      <c r="W26" s="2"/>
      <c r="X26" s="7">
        <f t="shared" si="6"/>
        <v>777.48999999999978</v>
      </c>
      <c r="Y26" s="2"/>
      <c r="Z26" s="6">
        <f t="shared" si="7"/>
        <v>0.53512974051896189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172.26</v>
      </c>
      <c r="E27" s="2"/>
      <c r="F27" s="6">
        <f t="shared" si="0"/>
        <v>0</v>
      </c>
      <c r="G27" s="2"/>
      <c r="H27" s="7">
        <v>64</v>
      </c>
      <c r="I27" s="2"/>
      <c r="J27" s="6">
        <f t="shared" si="1"/>
        <v>0</v>
      </c>
      <c r="K27" s="2"/>
      <c r="L27" s="7">
        <f t="shared" si="2"/>
        <v>108.25999999999999</v>
      </c>
      <c r="M27" s="2"/>
      <c r="N27" s="6">
        <f t="shared" si="3"/>
        <v>1.6915624999999999</v>
      </c>
      <c r="O27" s="11"/>
      <c r="P27" s="7">
        <v>1128.52</v>
      </c>
      <c r="Q27" s="2"/>
      <c r="R27" s="6">
        <f t="shared" si="4"/>
        <v>0</v>
      </c>
      <c r="S27" s="2"/>
      <c r="T27" s="7">
        <v>953.79</v>
      </c>
      <c r="U27" s="2"/>
      <c r="V27" s="6">
        <f t="shared" si="5"/>
        <v>0</v>
      </c>
      <c r="W27" s="2"/>
      <c r="X27" s="7">
        <f t="shared" si="6"/>
        <v>174.73000000000002</v>
      </c>
      <c r="Y27" s="2"/>
      <c r="Z27" s="6">
        <f t="shared" si="7"/>
        <v>0.1831954623135072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5261.81</v>
      </c>
      <c r="E28" s="1"/>
      <c r="F28" s="5">
        <f t="shared" ref="F28:F36" si="8">IF(D$12=0,0,D28/D$12)</f>
        <v>0</v>
      </c>
      <c r="G28" s="1"/>
      <c r="H28" s="1">
        <f>SUM(OSRRefH22_1x_0)</f>
        <v>5114.75</v>
      </c>
      <c r="I28" s="1"/>
      <c r="J28" s="5">
        <f t="shared" ref="J28:J36" si="9">IF(H$12=0,0,H28/H$12)</f>
        <v>0</v>
      </c>
      <c r="K28" s="1"/>
      <c r="L28" s="1">
        <f t="shared" ref="L28:L36" si="10">+D28-H28</f>
        <v>147.0600000000004</v>
      </c>
      <c r="M28" s="1"/>
      <c r="N28" s="5">
        <f t="shared" ref="N28:N36" si="11">IF(H28=0,0,L28/H28)</f>
        <v>2.8752138423187919E-2</v>
      </c>
      <c r="O28" s="14"/>
      <c r="P28" s="1">
        <f>SUM(OSRRefP22_1x_0)</f>
        <v>30114.560000000001</v>
      </c>
      <c r="Q28" s="1"/>
      <c r="R28" s="5">
        <f t="shared" ref="R28:R36" si="12">IF(P$12=0,0,P28/P$12)</f>
        <v>0</v>
      </c>
      <c r="S28" s="1"/>
      <c r="T28" s="1">
        <f>SUM(OSRRefT22_1x_0)</f>
        <v>30523.16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-408.59999999999854</v>
      </c>
      <c r="Y28" s="1"/>
      <c r="Z28" s="5">
        <f t="shared" ref="Z28:Z36" si="15">IF(T28=0,0,X28/T28)</f>
        <v>-1.3386556306751941E-2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7">
        <v>5261.81</v>
      </c>
      <c r="E29" s="2"/>
      <c r="F29" s="6">
        <f t="shared" si="8"/>
        <v>0</v>
      </c>
      <c r="G29" s="2"/>
      <c r="H29" s="7">
        <v>5114.75</v>
      </c>
      <c r="I29" s="2"/>
      <c r="J29" s="6">
        <f t="shared" si="9"/>
        <v>0</v>
      </c>
      <c r="K29" s="2"/>
      <c r="L29" s="7">
        <f t="shared" si="10"/>
        <v>147.0600000000004</v>
      </c>
      <c r="M29" s="2"/>
      <c r="N29" s="6">
        <f t="shared" si="11"/>
        <v>2.8752138423187919E-2</v>
      </c>
      <c r="O29" s="11"/>
      <c r="P29" s="7">
        <v>30114.560000000001</v>
      </c>
      <c r="Q29" s="2"/>
      <c r="R29" s="6">
        <f t="shared" si="12"/>
        <v>0</v>
      </c>
      <c r="S29" s="2"/>
      <c r="T29" s="7">
        <v>30523.16</v>
      </c>
      <c r="U29" s="2"/>
      <c r="V29" s="6">
        <f t="shared" si="13"/>
        <v>0</v>
      </c>
      <c r="W29" s="2"/>
      <c r="X29" s="7">
        <f t="shared" si="14"/>
        <v>-408.59999999999854</v>
      </c>
      <c r="Y29" s="2"/>
      <c r="Z29" s="6">
        <f t="shared" si="15"/>
        <v>-1.3386556306751941E-2</v>
      </c>
    </row>
    <row r="30" spans="1:26" s="29" customFormat="1" outlineLevel="1" collapsed="1" x14ac:dyDescent="0.3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-238.8</v>
      </c>
      <c r="I30" s="1"/>
      <c r="J30" s="5">
        <f t="shared" si="9"/>
        <v>0</v>
      </c>
      <c r="K30" s="1"/>
      <c r="L30" s="1">
        <f t="shared" si="10"/>
        <v>238.8</v>
      </c>
      <c r="M30" s="1"/>
      <c r="N30" s="5">
        <f t="shared" si="11"/>
        <v>-1</v>
      </c>
      <c r="O30" s="14"/>
      <c r="P30" s="1">
        <f>SUM(OSRRefP22_2x_0)</f>
        <v>-906.57</v>
      </c>
      <c r="Q30" s="1"/>
      <c r="R30" s="5">
        <f t="shared" si="12"/>
        <v>0</v>
      </c>
      <c r="S30" s="1"/>
      <c r="T30" s="1">
        <f>SUM(OSRRefT22_2x_0)</f>
        <v>-238.8</v>
      </c>
      <c r="U30" s="1"/>
      <c r="V30" s="5">
        <f t="shared" si="13"/>
        <v>0</v>
      </c>
      <c r="W30" s="1"/>
      <c r="X30" s="1">
        <f t="shared" si="14"/>
        <v>-667.77</v>
      </c>
      <c r="Y30" s="1"/>
      <c r="Z30" s="5">
        <f t="shared" si="15"/>
        <v>2.796356783919598</v>
      </c>
    </row>
    <row r="31" spans="1:26" s="24" customFormat="1" hidden="1" outlineLevel="2" x14ac:dyDescent="0.3">
      <c r="A31" s="27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>
        <v>-238.8</v>
      </c>
      <c r="I31" s="2"/>
      <c r="J31" s="6">
        <f t="shared" si="9"/>
        <v>0</v>
      </c>
      <c r="K31" s="2"/>
      <c r="L31" s="7">
        <f t="shared" si="10"/>
        <v>238.8</v>
      </c>
      <c r="M31" s="2"/>
      <c r="N31" s="6">
        <f t="shared" si="11"/>
        <v>-1</v>
      </c>
      <c r="O31" s="11"/>
      <c r="P31" s="7">
        <v>-906.57</v>
      </c>
      <c r="Q31" s="2"/>
      <c r="R31" s="6">
        <f t="shared" si="12"/>
        <v>0</v>
      </c>
      <c r="S31" s="2"/>
      <c r="T31" s="7">
        <v>-238.8</v>
      </c>
      <c r="U31" s="2"/>
      <c r="V31" s="6">
        <f t="shared" si="13"/>
        <v>0</v>
      </c>
      <c r="W31" s="2"/>
      <c r="X31" s="7">
        <f t="shared" si="14"/>
        <v>-667.77</v>
      </c>
      <c r="Y31" s="2"/>
      <c r="Z31" s="6">
        <f t="shared" si="15"/>
        <v>2.796356783919598</v>
      </c>
    </row>
    <row r="32" spans="1:26" s="29" customFormat="1" outlineLevel="1" collapsed="1" x14ac:dyDescent="0.3">
      <c r="A32" s="28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33.380000000000003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8.8200000000000038</v>
      </c>
      <c r="M32" s="1"/>
      <c r="N32" s="5">
        <f t="shared" si="11"/>
        <v>0.3591205211726386</v>
      </c>
      <c r="O32" s="14"/>
      <c r="P32" s="1">
        <f>SUM(OSRRefP22_3x_0)</f>
        <v>233.66</v>
      </c>
      <c r="Q32" s="1"/>
      <c r="R32" s="5">
        <f t="shared" si="12"/>
        <v>0</v>
      </c>
      <c r="S32" s="1"/>
      <c r="T32" s="1">
        <f>SUM(OSRRefT22_3x_0)</f>
        <v>171.92</v>
      </c>
      <c r="U32" s="1"/>
      <c r="V32" s="5">
        <f t="shared" si="13"/>
        <v>0</v>
      </c>
      <c r="W32" s="1"/>
      <c r="X32" s="1">
        <f t="shared" si="14"/>
        <v>61.740000000000009</v>
      </c>
      <c r="Y32" s="1"/>
      <c r="Z32" s="5">
        <f t="shared" si="15"/>
        <v>0.35912052117263854</v>
      </c>
    </row>
    <row r="33" spans="1:26" s="24" customFormat="1" hidden="1" outlineLevel="2" x14ac:dyDescent="0.3">
      <c r="A33" s="27"/>
      <c r="B33" s="11" t="str">
        <f>CONCATENATE("          ", "6314", " - ", "LIABILITY INSURANCE")</f>
        <v xml:space="preserve">          6314 - LIABILITY INSURANCE</v>
      </c>
      <c r="C33" s="11"/>
      <c r="D33" s="7">
        <v>33.380000000000003</v>
      </c>
      <c r="E33" s="2"/>
      <c r="F33" s="6">
        <f t="shared" si="8"/>
        <v>0</v>
      </c>
      <c r="G33" s="2"/>
      <c r="H33" s="7">
        <v>24.56</v>
      </c>
      <c r="I33" s="2"/>
      <c r="J33" s="6">
        <f t="shared" si="9"/>
        <v>0</v>
      </c>
      <c r="K33" s="2"/>
      <c r="L33" s="7">
        <f t="shared" si="10"/>
        <v>8.8200000000000038</v>
      </c>
      <c r="M33" s="2"/>
      <c r="N33" s="6">
        <f t="shared" si="11"/>
        <v>0.3591205211726386</v>
      </c>
      <c r="O33" s="11"/>
      <c r="P33" s="7">
        <v>233.66</v>
      </c>
      <c r="Q33" s="2"/>
      <c r="R33" s="6">
        <f t="shared" si="12"/>
        <v>0</v>
      </c>
      <c r="S33" s="2"/>
      <c r="T33" s="7">
        <v>171.92</v>
      </c>
      <c r="U33" s="2"/>
      <c r="V33" s="6">
        <f t="shared" si="13"/>
        <v>0</v>
      </c>
      <c r="W33" s="2"/>
      <c r="X33" s="7">
        <f t="shared" si="14"/>
        <v>61.740000000000009</v>
      </c>
      <c r="Y33" s="2"/>
      <c r="Z33" s="6">
        <f t="shared" si="15"/>
        <v>0.35912052117263854</v>
      </c>
    </row>
    <row r="34" spans="1:26" s="29" customFormat="1" outlineLevel="1" collapsed="1" x14ac:dyDescent="0.3">
      <c r="A34" s="28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3721.3</v>
      </c>
      <c r="E34" s="1"/>
      <c r="F34" s="5">
        <f t="shared" si="8"/>
        <v>0</v>
      </c>
      <c r="G34" s="1"/>
      <c r="H34" s="1">
        <f>SUM(OSRRefH22_4x_0)</f>
        <v>891.98</v>
      </c>
      <c r="I34" s="1"/>
      <c r="J34" s="5">
        <f t="shared" si="9"/>
        <v>0</v>
      </c>
      <c r="K34" s="1"/>
      <c r="L34" s="1">
        <f t="shared" si="10"/>
        <v>2829.32</v>
      </c>
      <c r="M34" s="1"/>
      <c r="N34" s="5">
        <f t="shared" si="11"/>
        <v>3.1719545281284334</v>
      </c>
      <c r="O34" s="14"/>
      <c r="P34" s="1">
        <f>SUM(OSRRefP22_4x_0)</f>
        <v>9279.82</v>
      </c>
      <c r="Q34" s="1"/>
      <c r="R34" s="5">
        <f t="shared" si="12"/>
        <v>0</v>
      </c>
      <c r="S34" s="1"/>
      <c r="T34" s="1">
        <f>SUM(OSRRefT22_4x_0)</f>
        <v>7392.2699999999995</v>
      </c>
      <c r="U34" s="1"/>
      <c r="V34" s="5">
        <f t="shared" si="13"/>
        <v>0</v>
      </c>
      <c r="W34" s="1"/>
      <c r="X34" s="1">
        <f t="shared" si="14"/>
        <v>1887.5500000000002</v>
      </c>
      <c r="Y34" s="1"/>
      <c r="Z34" s="5">
        <f t="shared" si="15"/>
        <v>0.25534105220723813</v>
      </c>
    </row>
    <row r="35" spans="1:26" s="24" customFormat="1" hidden="1" outlineLevel="2" x14ac:dyDescent="0.3">
      <c r="A35" s="27"/>
      <c r="B35" s="11" t="str">
        <f>CONCATENATE("          ", "6373", " - ", "MAINTENANCE CONTRACTS")</f>
        <v xml:space="preserve">          6373 - MAINTENANCE CONTRACTS</v>
      </c>
      <c r="C35" s="11"/>
      <c r="D35" s="7">
        <v>3721.3</v>
      </c>
      <c r="E35" s="2"/>
      <c r="F35" s="6">
        <f t="shared" si="8"/>
        <v>0</v>
      </c>
      <c r="G35" s="2"/>
      <c r="H35" s="7">
        <v>891.98</v>
      </c>
      <c r="I35" s="2"/>
      <c r="J35" s="6">
        <f t="shared" si="9"/>
        <v>0</v>
      </c>
      <c r="K35" s="2"/>
      <c r="L35" s="7">
        <f t="shared" si="10"/>
        <v>2829.32</v>
      </c>
      <c r="M35" s="2"/>
      <c r="N35" s="6">
        <f t="shared" si="11"/>
        <v>3.1719545281284334</v>
      </c>
      <c r="O35" s="11"/>
      <c r="P35" s="7">
        <v>9206.98</v>
      </c>
      <c r="Q35" s="2"/>
      <c r="R35" s="6">
        <f t="shared" si="12"/>
        <v>0</v>
      </c>
      <c r="S35" s="2"/>
      <c r="T35" s="7">
        <v>5221.9799999999996</v>
      </c>
      <c r="U35" s="2"/>
      <c r="V35" s="6">
        <f t="shared" si="13"/>
        <v>0</v>
      </c>
      <c r="W35" s="2"/>
      <c r="X35" s="7">
        <f t="shared" si="14"/>
        <v>3985</v>
      </c>
      <c r="Y35" s="2"/>
      <c r="Z35" s="6">
        <f t="shared" si="15"/>
        <v>0.76312050218499505</v>
      </c>
    </row>
    <row r="36" spans="1:26" s="24" customFormat="1" hidden="1" outlineLevel="2" x14ac:dyDescent="0.3">
      <c r="A36" s="27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72.84</v>
      </c>
      <c r="Q36" s="2"/>
      <c r="R36" s="6">
        <f t="shared" si="12"/>
        <v>0</v>
      </c>
      <c r="S36" s="2"/>
      <c r="T36" s="7">
        <v>2170.29</v>
      </c>
      <c r="U36" s="2"/>
      <c r="V36" s="6">
        <f t="shared" si="13"/>
        <v>0</v>
      </c>
      <c r="W36" s="2"/>
      <c r="X36" s="7">
        <f t="shared" si="14"/>
        <v>-2097.4499999999998</v>
      </c>
      <c r="Y36" s="2"/>
      <c r="Z36" s="6">
        <f t="shared" si="15"/>
        <v>-0.96643766501250983</v>
      </c>
    </row>
    <row r="37" spans="1:26" s="29" customFormat="1" outlineLevel="1" collapsed="1" x14ac:dyDescent="0.3">
      <c r="A37" s="28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ref="F37:F40" si="16">IF(D$12=0,0,D37/D$12)</f>
        <v>0</v>
      </c>
      <c r="G37" s="1"/>
      <c r="H37" s="1">
        <f>SUM(OSRRefH22_5x_0)</f>
        <v>0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0</v>
      </c>
      <c r="M37" s="1"/>
      <c r="N37" s="5">
        <f t="shared" ref="N37:N40" si="19">IF(H37=0,0,L37/H37)</f>
        <v>0</v>
      </c>
      <c r="O37" s="14"/>
      <c r="P37" s="1">
        <f>SUM(OSRRefP22_5x_0)</f>
        <v>236.29999999999998</v>
      </c>
      <c r="Q37" s="1"/>
      <c r="R37" s="5">
        <f t="shared" ref="R37:R40" si="20">IF(P$12=0,0,P37/P$12)</f>
        <v>0</v>
      </c>
      <c r="S37" s="1"/>
      <c r="T37" s="1">
        <f>SUM(OSRRefT22_5x_0)</f>
        <v>82.04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154.26</v>
      </c>
      <c r="Y37" s="1"/>
      <c r="Z37" s="5">
        <f t="shared" ref="Z37:Z40" si="23">IF(T37=0,0,X37/T37)</f>
        <v>1.88030229156509</v>
      </c>
    </row>
    <row r="38" spans="1:26" s="24" customFormat="1" hidden="1" outlineLevel="2" x14ac:dyDescent="0.3">
      <c r="A38" s="27"/>
      <c r="B38" s="11" t="str">
        <f>CONCATENATE("          ", "6234", " - ", "EXPENDABLE SUPPLIES &amp; EQUIPMEN")</f>
        <v xml:space="preserve">          6234 - EXPENDABLE SUPPLIES &amp; EQUIPMEN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26.1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26.1</v>
      </c>
      <c r="Y38" s="2"/>
      <c r="Z38" s="6">
        <f t="shared" si="23"/>
        <v>0</v>
      </c>
    </row>
    <row r="39" spans="1:26" s="24" customFormat="1" hidden="1" outlineLevel="2" x14ac:dyDescent="0.3">
      <c r="A39" s="27"/>
      <c r="B39" s="11" t="str">
        <f>CONCATENATE("          ", "6235", " - ", "COVID-19 EXPENSES")</f>
        <v xml:space="preserve">          6235 - COVID-19 EXPENSES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66.12</v>
      </c>
      <c r="U39" s="2"/>
      <c r="V39" s="6">
        <f t="shared" si="21"/>
        <v>0</v>
      </c>
      <c r="W39" s="2"/>
      <c r="X39" s="7">
        <f t="shared" si="22"/>
        <v>-66.12</v>
      </c>
      <c r="Y39" s="2"/>
      <c r="Z39" s="6">
        <f t="shared" si="23"/>
        <v>-1</v>
      </c>
    </row>
    <row r="40" spans="1:26" s="24" customFormat="1" hidden="1" outlineLevel="2" x14ac:dyDescent="0.3">
      <c r="A40" s="27"/>
      <c r="B40" s="11" t="str">
        <f>CONCATENATE("          ", "6241", " - ", "OFFICE EXPENSE")</f>
        <v xml:space="preserve">          6241 - OFFICE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210.2</v>
      </c>
      <c r="Q40" s="2"/>
      <c r="R40" s="6">
        <f t="shared" si="20"/>
        <v>0</v>
      </c>
      <c r="S40" s="2"/>
      <c r="T40" s="7">
        <v>15.92</v>
      </c>
      <c r="U40" s="2"/>
      <c r="V40" s="6">
        <f t="shared" si="21"/>
        <v>0</v>
      </c>
      <c r="W40" s="2"/>
      <c r="X40" s="7">
        <f t="shared" si="22"/>
        <v>194.28</v>
      </c>
      <c r="Y40" s="2"/>
      <c r="Z40" s="6">
        <f t="shared" si="23"/>
        <v>12.203517587939698</v>
      </c>
    </row>
    <row r="41" spans="1:26" s="29" customFormat="1" outlineLevel="1" collapsed="1" x14ac:dyDescent="0.3">
      <c r="A41" s="28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SUM(OSRRefD22_6x_0)</f>
        <v>98</v>
      </c>
      <c r="E41" s="1"/>
      <c r="F41" s="5">
        <f t="shared" ref="F41:F42" si="24">IF(D$12=0,0,D41/D$12)</f>
        <v>0</v>
      </c>
      <c r="G41" s="1"/>
      <c r="H41" s="1">
        <f>SUM(OSRRefH22_6x_0)</f>
        <v>-127</v>
      </c>
      <c r="I41" s="1"/>
      <c r="J41" s="5">
        <f t="shared" ref="J41:J42" si="25">IF(H$12=0,0,H41/H$12)</f>
        <v>0</v>
      </c>
      <c r="K41" s="1"/>
      <c r="L41" s="1">
        <f t="shared" ref="L41:L42" si="26">+D41-H41</f>
        <v>225</v>
      </c>
      <c r="M41" s="1"/>
      <c r="N41" s="5">
        <f t="shared" ref="N41:N42" si="27">IF(H41=0,0,L41/H41)</f>
        <v>-1.7716535433070866</v>
      </c>
      <c r="O41" s="14"/>
      <c r="P41" s="1">
        <f>SUM(OSRRefP22_6x_0)</f>
        <v>636</v>
      </c>
      <c r="Q41" s="1"/>
      <c r="R41" s="5">
        <f t="shared" ref="R41:R42" si="28">IF(P$12=0,0,P41/P$12)</f>
        <v>0</v>
      </c>
      <c r="S41" s="1"/>
      <c r="T41" s="1">
        <f>SUM(OSRRefT22_6x_0)</f>
        <v>440</v>
      </c>
      <c r="U41" s="1"/>
      <c r="V41" s="5">
        <f t="shared" ref="V41:V42" si="29">IF(T$12=0,0,T41/T$12)</f>
        <v>0</v>
      </c>
      <c r="W41" s="1"/>
      <c r="X41" s="1">
        <f t="shared" ref="X41:X42" si="30">+P41-T41</f>
        <v>196</v>
      </c>
      <c r="Y41" s="1"/>
      <c r="Z41" s="5">
        <f t="shared" ref="Z41:Z42" si="31">IF(T41=0,0,X41/T41)</f>
        <v>0.44545454545454544</v>
      </c>
    </row>
    <row r="42" spans="1:26" s="24" customFormat="1" hidden="1" outlineLevel="2" x14ac:dyDescent="0.3">
      <c r="A42" s="27"/>
      <c r="B42" s="11" t="str">
        <f>CONCATENATE("          ", "6309", " - ", "TELEPHONE")</f>
        <v xml:space="preserve">          6309 - TELEPHONE</v>
      </c>
      <c r="C42" s="11"/>
      <c r="D42" s="7">
        <v>98</v>
      </c>
      <c r="E42" s="2"/>
      <c r="F42" s="6">
        <f t="shared" si="24"/>
        <v>0</v>
      </c>
      <c r="G42" s="2"/>
      <c r="H42" s="7">
        <v>-127</v>
      </c>
      <c r="I42" s="2"/>
      <c r="J42" s="6">
        <f t="shared" si="25"/>
        <v>0</v>
      </c>
      <c r="K42" s="2"/>
      <c r="L42" s="7">
        <f t="shared" si="26"/>
        <v>225</v>
      </c>
      <c r="M42" s="2"/>
      <c r="N42" s="6">
        <f t="shared" si="27"/>
        <v>-1.7716535433070866</v>
      </c>
      <c r="O42" s="11"/>
      <c r="P42" s="7">
        <v>636</v>
      </c>
      <c r="Q42" s="2"/>
      <c r="R42" s="6">
        <f t="shared" si="28"/>
        <v>0</v>
      </c>
      <c r="S42" s="2"/>
      <c r="T42" s="7">
        <v>440</v>
      </c>
      <c r="U42" s="2"/>
      <c r="V42" s="6">
        <f t="shared" si="29"/>
        <v>0</v>
      </c>
      <c r="W42" s="2"/>
      <c r="X42" s="7">
        <f t="shared" si="30"/>
        <v>196</v>
      </c>
      <c r="Y42" s="2"/>
      <c r="Z42" s="6">
        <f t="shared" si="31"/>
        <v>0.44545454545454544</v>
      </c>
    </row>
    <row r="43" spans="1:26" s="52" customFormat="1" x14ac:dyDescent="0.3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6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10"/>
      <c r="B46" s="25" t="s">
        <v>276</v>
      </c>
      <c r="C46" s="25"/>
      <c r="D46" s="21">
        <f>+D16-D18+D44</f>
        <v>-12857.57</v>
      </c>
      <c r="E46" s="13"/>
      <c r="F46" s="22">
        <f>IF(D$12=0,0,D46/D$12)</f>
        <v>0</v>
      </c>
      <c r="G46" s="13"/>
      <c r="H46" s="21">
        <f>+H16-H18+H44</f>
        <v>-8201.44</v>
      </c>
      <c r="I46" s="13"/>
      <c r="J46" s="22">
        <f>IF(H$12=0,0,H46/H$12)</f>
        <v>0</v>
      </c>
      <c r="K46" s="15"/>
      <c r="L46" s="21">
        <f>+D46-H46</f>
        <v>-4656.1299999999992</v>
      </c>
      <c r="M46" s="15"/>
      <c r="N46" s="22">
        <f>IF(H46=0,0,L46/H46)</f>
        <v>0.56772103435494237</v>
      </c>
      <c r="O46" s="26"/>
      <c r="P46" s="21">
        <f>+P16-P18+P44</f>
        <v>-58590.859999999993</v>
      </c>
      <c r="Q46" s="13"/>
      <c r="R46" s="22">
        <f>IF(P$12=0,0,P46/P$12)</f>
        <v>0</v>
      </c>
      <c r="S46" s="13"/>
      <c r="T46" s="21">
        <f>+T16-T18+T44</f>
        <v>-55789.599999999991</v>
      </c>
      <c r="U46" s="13"/>
      <c r="V46" s="22">
        <f>IF(T$12=0,0,T46/T$12)</f>
        <v>0</v>
      </c>
      <c r="W46" s="15"/>
      <c r="X46" s="21">
        <f>+P46-T46</f>
        <v>-2801.260000000002</v>
      </c>
      <c r="Y46" s="15"/>
      <c r="Z46" s="22">
        <f>IF(T46=0,0,X46/T46)</f>
        <v>5.0211150465319744E-2</v>
      </c>
    </row>
    <row r="47" spans="1:26" x14ac:dyDescent="0.3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" thickBot="1" x14ac:dyDescent="0.35">
      <c r="A50" s="10"/>
      <c r="B50" s="25" t="s">
        <v>125</v>
      </c>
      <c r="C50" s="25"/>
      <c r="D50" s="36">
        <f>+D46-D48</f>
        <v>-12857.57</v>
      </c>
      <c r="E50" s="13"/>
      <c r="F50" s="31">
        <f>IF(D$12=0,0,D50/D$12)</f>
        <v>0</v>
      </c>
      <c r="G50" s="13"/>
      <c r="H50" s="36">
        <f>+H46-H48</f>
        <v>-8201.44</v>
      </c>
      <c r="I50" s="13"/>
      <c r="J50" s="31">
        <f>IF(H$12=0,0,H50/H$12)</f>
        <v>0</v>
      </c>
      <c r="K50" s="15"/>
      <c r="L50" s="36">
        <f>D50-H50</f>
        <v>-4656.1299999999992</v>
      </c>
      <c r="M50" s="15"/>
      <c r="N50" s="31">
        <f>IF(H50=0,0,L50/H50)</f>
        <v>0.56772103435494237</v>
      </c>
      <c r="O50" s="26"/>
      <c r="P50" s="36">
        <f>+P46-P48</f>
        <v>-58590.859999999993</v>
      </c>
      <c r="Q50" s="13"/>
      <c r="R50" s="31">
        <f>IF(P$12=0,0,P50/P$12)</f>
        <v>0</v>
      </c>
      <c r="S50" s="13"/>
      <c r="T50" s="36">
        <f>+T46-T48</f>
        <v>-55789.599999999991</v>
      </c>
      <c r="U50" s="13"/>
      <c r="V50" s="31">
        <f>IF(T$12=0,0,T50/T$12)</f>
        <v>0</v>
      </c>
      <c r="W50" s="15"/>
      <c r="X50" s="36">
        <f>P50-T50</f>
        <v>-2801.260000000002</v>
      </c>
      <c r="Y50" s="15"/>
      <c r="Z50" s="31">
        <f>IF(T50=0,0,X50/T50)</f>
        <v>5.0211150465319744E-2</v>
      </c>
    </row>
    <row r="51" spans="1:26" ht="15" thickTop="1" x14ac:dyDescent="0.3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35">
      <c r="A53" s="10"/>
      <c r="B53" s="25" t="s">
        <v>293</v>
      </c>
      <c r="C53" s="25"/>
      <c r="D53" s="35">
        <f>SUM(D50:D52)</f>
        <v>-12857.57</v>
      </c>
      <c r="E53" s="13"/>
      <c r="F53" s="32">
        <f>IF(D$12=0,0,D53/D$12)</f>
        <v>0</v>
      </c>
      <c r="G53" s="13"/>
      <c r="H53" s="35">
        <f>SUM(H50:H52)</f>
        <v>-8201.44</v>
      </c>
      <c r="I53" s="13"/>
      <c r="J53" s="32">
        <f>IF(H$12=0,0,H53/H$12)</f>
        <v>0</v>
      </c>
      <c r="K53" s="15"/>
      <c r="L53" s="35">
        <f>+D53-H53</f>
        <v>-4656.1299999999992</v>
      </c>
      <c r="M53" s="15"/>
      <c r="N53" s="32">
        <f>IF(H53=0,0,L53/H53)</f>
        <v>0.56772103435494237</v>
      </c>
      <c r="O53" s="26"/>
      <c r="P53" s="35">
        <f>SUM(P50:P52)</f>
        <v>-58590.859999999993</v>
      </c>
      <c r="Q53" s="13"/>
      <c r="R53" s="32">
        <f>IF(P$12=0,0,P53/P$12)</f>
        <v>0</v>
      </c>
      <c r="S53" s="13"/>
      <c r="T53" s="35">
        <f>SUM(T50:T52)</f>
        <v>-55789.599999999991</v>
      </c>
      <c r="U53" s="13"/>
      <c r="V53" s="32">
        <f>IF(T$12=0,0,T53/T$12)</f>
        <v>0</v>
      </c>
      <c r="W53" s="15"/>
      <c r="X53" s="35">
        <f>+P53-T53</f>
        <v>-2801.260000000002</v>
      </c>
      <c r="Y53" s="15"/>
      <c r="Z53" s="32">
        <f>IF(T53=0,0,X53/T53)</f>
        <v>5.0211150465319744E-2</v>
      </c>
    </row>
    <row r="54" spans="1:26" ht="15" thickTop="1" x14ac:dyDescent="0.3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4">
        <v>44604.028475694446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3" t="s">
        <v>56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59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","206", " - ", "Communications")</f>
        <v>Department 206 - Communications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6888.15</v>
      </c>
      <c r="E18" s="20"/>
      <c r="F18" s="30">
        <f t="shared" ref="F18:F27" si="0">IF(D$12=0,0,D18/D$12)</f>
        <v>0</v>
      </c>
      <c r="G18" s="20"/>
      <c r="H18" s="20">
        <f>SUM(OSRRefH22x_0)</f>
        <v>10403.06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-3514.91</v>
      </c>
      <c r="M18" s="4"/>
      <c r="N18" s="30">
        <f t="shared" ref="N18:N27" si="3">IF(H18=0,0,L18/H18)</f>
        <v>-0.33787270283935689</v>
      </c>
      <c r="O18" s="10"/>
      <c r="P18" s="20">
        <f>SUM(OSRRefP22x_0)</f>
        <v>60888.26</v>
      </c>
      <c r="Q18" s="20"/>
      <c r="R18" s="30">
        <f t="shared" ref="R18:R27" si="4">IF(P$12=0,0,P18/P$12)</f>
        <v>0</v>
      </c>
      <c r="S18" s="20"/>
      <c r="T18" s="20">
        <f>SUM(OSRRefT22x_0)</f>
        <v>62645.85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-1757.5899999999965</v>
      </c>
      <c r="Y18" s="4"/>
      <c r="Z18" s="30">
        <f t="shared" ref="Z18:Z27" si="7">IF(T18=0,0,X18/T18)</f>
        <v>-2.8055968591694368E-2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1531.66</v>
      </c>
      <c r="E19" s="1"/>
      <c r="F19" s="5">
        <f t="shared" si="0"/>
        <v>0</v>
      </c>
      <c r="G19" s="1"/>
      <c r="H19" s="1">
        <f>SUM(OSRRefH22_0x_0)</f>
        <v>2024.67</v>
      </c>
      <c r="I19" s="1"/>
      <c r="J19" s="5">
        <f t="shared" si="1"/>
        <v>0</v>
      </c>
      <c r="K19" s="1"/>
      <c r="L19" s="1">
        <f t="shared" si="2"/>
        <v>-493.01</v>
      </c>
      <c r="M19" s="1"/>
      <c r="N19" s="5">
        <f t="shared" si="3"/>
        <v>-0.2435014101063383</v>
      </c>
      <c r="O19" s="14"/>
      <c r="P19" s="1">
        <f>SUM(OSRRefP22_0x_0)</f>
        <v>13163.349999999999</v>
      </c>
      <c r="Q19" s="1"/>
      <c r="R19" s="5">
        <f t="shared" si="4"/>
        <v>0</v>
      </c>
      <c r="S19" s="1"/>
      <c r="T19" s="1">
        <f>SUM(OSRRefT22_0x_0)</f>
        <v>11515.07</v>
      </c>
      <c r="U19" s="1"/>
      <c r="V19" s="5">
        <f t="shared" si="5"/>
        <v>0</v>
      </c>
      <c r="W19" s="1"/>
      <c r="X19" s="1">
        <f t="shared" si="6"/>
        <v>1648.2799999999988</v>
      </c>
      <c r="Y19" s="1"/>
      <c r="Z19" s="5">
        <f t="shared" si="7"/>
        <v>0.14314111855160228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393.74</v>
      </c>
      <c r="E20" s="2"/>
      <c r="F20" s="6">
        <f t="shared" si="0"/>
        <v>0</v>
      </c>
      <c r="G20" s="2"/>
      <c r="H20" s="7">
        <v>380.68</v>
      </c>
      <c r="I20" s="2"/>
      <c r="J20" s="6">
        <f t="shared" si="1"/>
        <v>0</v>
      </c>
      <c r="K20" s="2"/>
      <c r="L20" s="7">
        <f t="shared" si="2"/>
        <v>13.060000000000002</v>
      </c>
      <c r="M20" s="2"/>
      <c r="N20" s="6">
        <f t="shared" si="3"/>
        <v>3.4307029526111178E-2</v>
      </c>
      <c r="O20" s="11"/>
      <c r="P20" s="7">
        <v>2977.5</v>
      </c>
      <c r="Q20" s="2"/>
      <c r="R20" s="6">
        <f t="shared" si="4"/>
        <v>0</v>
      </c>
      <c r="S20" s="2"/>
      <c r="T20" s="7">
        <v>2804.09</v>
      </c>
      <c r="U20" s="2"/>
      <c r="V20" s="6">
        <f t="shared" si="5"/>
        <v>0</v>
      </c>
      <c r="W20" s="2"/>
      <c r="X20" s="7">
        <f t="shared" si="6"/>
        <v>173.40999999999985</v>
      </c>
      <c r="Y20" s="2"/>
      <c r="Z20" s="6">
        <f t="shared" si="7"/>
        <v>6.1841809642343808E-2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66.33</v>
      </c>
      <c r="E21" s="2"/>
      <c r="F21" s="6">
        <f t="shared" si="0"/>
        <v>0</v>
      </c>
      <c r="G21" s="2"/>
      <c r="H21" s="7">
        <v>12.97</v>
      </c>
      <c r="I21" s="2"/>
      <c r="J21" s="6">
        <f t="shared" si="1"/>
        <v>0</v>
      </c>
      <c r="K21" s="2"/>
      <c r="L21" s="7">
        <f t="shared" si="2"/>
        <v>53.36</v>
      </c>
      <c r="M21" s="2"/>
      <c r="N21" s="6">
        <f t="shared" si="3"/>
        <v>4.1141094834232845</v>
      </c>
      <c r="O21" s="11"/>
      <c r="P21" s="7">
        <v>601.67999999999995</v>
      </c>
      <c r="Q21" s="2"/>
      <c r="R21" s="6">
        <f t="shared" si="4"/>
        <v>0</v>
      </c>
      <c r="S21" s="2"/>
      <c r="T21" s="7">
        <v>149.28</v>
      </c>
      <c r="U21" s="2"/>
      <c r="V21" s="6">
        <f t="shared" si="5"/>
        <v>0</v>
      </c>
      <c r="W21" s="2"/>
      <c r="X21" s="7">
        <f t="shared" si="6"/>
        <v>452.4</v>
      </c>
      <c r="Y21" s="2"/>
      <c r="Z21" s="6">
        <f t="shared" si="7"/>
        <v>3.030546623794212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39.83</v>
      </c>
      <c r="E22" s="2"/>
      <c r="F22" s="6">
        <f t="shared" si="0"/>
        <v>0</v>
      </c>
      <c r="G22" s="2"/>
      <c r="H22" s="7">
        <v>704.62</v>
      </c>
      <c r="I22" s="2"/>
      <c r="J22" s="6">
        <f t="shared" si="1"/>
        <v>0</v>
      </c>
      <c r="K22" s="2"/>
      <c r="L22" s="7">
        <f t="shared" si="2"/>
        <v>-664.79</v>
      </c>
      <c r="M22" s="2"/>
      <c r="N22" s="6">
        <f t="shared" si="3"/>
        <v>-0.94347307768726396</v>
      </c>
      <c r="O22" s="11"/>
      <c r="P22" s="7">
        <v>4256.3</v>
      </c>
      <c r="Q22" s="2"/>
      <c r="R22" s="6">
        <f t="shared" si="4"/>
        <v>0</v>
      </c>
      <c r="S22" s="2"/>
      <c r="T22" s="7">
        <v>4909.84</v>
      </c>
      <c r="U22" s="2"/>
      <c r="V22" s="6">
        <f t="shared" si="5"/>
        <v>0</v>
      </c>
      <c r="W22" s="2"/>
      <c r="X22" s="7">
        <f t="shared" si="6"/>
        <v>-653.54</v>
      </c>
      <c r="Y22" s="2"/>
      <c r="Z22" s="6">
        <f t="shared" si="7"/>
        <v>-0.13310820719208771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13.37</v>
      </c>
      <c r="E23" s="2"/>
      <c r="F23" s="6">
        <f t="shared" si="0"/>
        <v>0</v>
      </c>
      <c r="G23" s="2"/>
      <c r="H23" s="7">
        <v>32.46</v>
      </c>
      <c r="I23" s="2"/>
      <c r="J23" s="6">
        <f t="shared" si="1"/>
        <v>0</v>
      </c>
      <c r="K23" s="2"/>
      <c r="L23" s="7">
        <f t="shared" si="2"/>
        <v>-19.090000000000003</v>
      </c>
      <c r="M23" s="2"/>
      <c r="N23" s="6">
        <f t="shared" si="3"/>
        <v>-0.58810844115834882</v>
      </c>
      <c r="O23" s="11"/>
      <c r="P23" s="7">
        <v>121.28</v>
      </c>
      <c r="Q23" s="2"/>
      <c r="R23" s="6">
        <f t="shared" si="4"/>
        <v>0</v>
      </c>
      <c r="S23" s="2"/>
      <c r="T23" s="7">
        <v>117.62</v>
      </c>
      <c r="U23" s="2"/>
      <c r="V23" s="6">
        <f t="shared" si="5"/>
        <v>0</v>
      </c>
      <c r="W23" s="2"/>
      <c r="X23" s="7">
        <f t="shared" si="6"/>
        <v>3.6599999999999966</v>
      </c>
      <c r="Y23" s="2"/>
      <c r="Z23" s="6">
        <f t="shared" si="7"/>
        <v>3.1117156946097572E-2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441.84</v>
      </c>
      <c r="I24" s="2"/>
      <c r="J24" s="6">
        <f t="shared" si="1"/>
        <v>0</v>
      </c>
      <c r="K24" s="2"/>
      <c r="L24" s="7">
        <f t="shared" si="2"/>
        <v>-441.84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441.84</v>
      </c>
      <c r="U24" s="2"/>
      <c r="V24" s="6">
        <f t="shared" si="5"/>
        <v>0</v>
      </c>
      <c r="W24" s="2"/>
      <c r="X24" s="7">
        <f t="shared" si="6"/>
        <v>-441.84</v>
      </c>
      <c r="Y24" s="2"/>
      <c r="Z24" s="6">
        <f t="shared" si="7"/>
        <v>-1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344.46</v>
      </c>
      <c r="E25" s="2"/>
      <c r="F25" s="6">
        <f t="shared" si="0"/>
        <v>0</v>
      </c>
      <c r="G25" s="2"/>
      <c r="H25" s="7">
        <v>230.7</v>
      </c>
      <c r="I25" s="2"/>
      <c r="J25" s="6">
        <f t="shared" si="1"/>
        <v>0</v>
      </c>
      <c r="K25" s="2"/>
      <c r="L25" s="7">
        <f t="shared" si="2"/>
        <v>113.75999999999999</v>
      </c>
      <c r="M25" s="2"/>
      <c r="N25" s="6">
        <f t="shared" si="3"/>
        <v>0.4931079323797139</v>
      </c>
      <c r="O25" s="11"/>
      <c r="P25" s="7">
        <v>2164.48</v>
      </c>
      <c r="Q25" s="2"/>
      <c r="R25" s="6">
        <f t="shared" si="4"/>
        <v>0</v>
      </c>
      <c r="S25" s="2"/>
      <c r="T25" s="7">
        <v>1431.9</v>
      </c>
      <c r="U25" s="2"/>
      <c r="V25" s="6">
        <f t="shared" si="5"/>
        <v>0</v>
      </c>
      <c r="W25" s="2"/>
      <c r="X25" s="7">
        <f t="shared" si="6"/>
        <v>732.57999999999993</v>
      </c>
      <c r="Y25" s="2"/>
      <c r="Z25" s="6">
        <f t="shared" si="7"/>
        <v>0.51161393952091616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539.66999999999996</v>
      </c>
      <c r="E26" s="2"/>
      <c r="F26" s="6">
        <f t="shared" si="0"/>
        <v>0</v>
      </c>
      <c r="G26" s="2"/>
      <c r="H26" s="7">
        <v>221.4</v>
      </c>
      <c r="I26" s="2"/>
      <c r="J26" s="6">
        <f t="shared" si="1"/>
        <v>0</v>
      </c>
      <c r="K26" s="2"/>
      <c r="L26" s="7">
        <f t="shared" si="2"/>
        <v>318.27</v>
      </c>
      <c r="M26" s="2"/>
      <c r="N26" s="6">
        <f t="shared" si="3"/>
        <v>1.4375338753387532</v>
      </c>
      <c r="O26" s="11"/>
      <c r="P26" s="7">
        <v>1996.49</v>
      </c>
      <c r="Q26" s="2"/>
      <c r="R26" s="6">
        <f t="shared" si="4"/>
        <v>0</v>
      </c>
      <c r="S26" s="2"/>
      <c r="T26" s="7">
        <v>1660.5</v>
      </c>
      <c r="U26" s="2"/>
      <c r="V26" s="6">
        <f t="shared" si="5"/>
        <v>0</v>
      </c>
      <c r="W26" s="2"/>
      <c r="X26" s="7">
        <f t="shared" si="6"/>
        <v>335.99</v>
      </c>
      <c r="Y26" s="2"/>
      <c r="Z26" s="6">
        <f t="shared" si="7"/>
        <v>0.20234266787112315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134.26</v>
      </c>
      <c r="E27" s="2"/>
      <c r="F27" s="6">
        <f t="shared" si="0"/>
        <v>0</v>
      </c>
      <c r="G27" s="2"/>
      <c r="H27" s="7"/>
      <c r="I27" s="2"/>
      <c r="J27" s="6">
        <f t="shared" si="1"/>
        <v>0</v>
      </c>
      <c r="K27" s="2"/>
      <c r="L27" s="7">
        <f t="shared" si="2"/>
        <v>134.26</v>
      </c>
      <c r="M27" s="2"/>
      <c r="N27" s="6">
        <f t="shared" si="3"/>
        <v>0</v>
      </c>
      <c r="O27" s="11"/>
      <c r="P27" s="7">
        <v>1045.6199999999999</v>
      </c>
      <c r="Q27" s="2"/>
      <c r="R27" s="6">
        <f t="shared" si="4"/>
        <v>0</v>
      </c>
      <c r="S27" s="2"/>
      <c r="T27" s="7"/>
      <c r="U27" s="2"/>
      <c r="V27" s="6">
        <f t="shared" si="5"/>
        <v>0</v>
      </c>
      <c r="W27" s="2"/>
      <c r="X27" s="7">
        <f t="shared" si="6"/>
        <v>1045.6199999999999</v>
      </c>
      <c r="Y27" s="2"/>
      <c r="Z27" s="6">
        <f t="shared" si="7"/>
        <v>0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5146.9799999999996</v>
      </c>
      <c r="E28" s="1"/>
      <c r="F28" s="5">
        <f t="shared" ref="F28:F31" si="8">IF(D$12=0,0,D28/D$12)</f>
        <v>0</v>
      </c>
      <c r="G28" s="1"/>
      <c r="H28" s="1">
        <f>SUM(OSRRefH22_1x_0)</f>
        <v>7897.76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-2750.7800000000007</v>
      </c>
      <c r="M28" s="1"/>
      <c r="N28" s="5">
        <f t="shared" ref="N28:N31" si="11">IF(H28=0,0,L28/H28)</f>
        <v>-0.34829875812888728</v>
      </c>
      <c r="O28" s="14"/>
      <c r="P28" s="1">
        <f>SUM(OSRRefP22_1x_0)</f>
        <v>46059.960000000006</v>
      </c>
      <c r="Q28" s="1"/>
      <c r="R28" s="5">
        <f t="shared" ref="R28:R31" si="12">IF(P$12=0,0,P28/P$12)</f>
        <v>0</v>
      </c>
      <c r="S28" s="1"/>
      <c r="T28" s="1">
        <f>SUM(OSRRefT22_1x_0)</f>
        <v>47976.479999999996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-1916.5199999999895</v>
      </c>
      <c r="Y28" s="1"/>
      <c r="Z28" s="5">
        <f t="shared" ref="Z28:Z31" si="15">IF(T28=0,0,X28/T28)</f>
        <v>-3.9947074066292269E-2</v>
      </c>
    </row>
    <row r="29" spans="1:26" s="24" customFormat="1" hidden="1" outlineLevel="2" x14ac:dyDescent="0.3">
      <c r="A29" s="27"/>
      <c r="B29" s="11" t="str">
        <f>CONCATENATE("          ", "6004", " - ", "STAFF HOURLY")</f>
        <v xml:space="preserve">          6004 - STAFF HOURLY</v>
      </c>
      <c r="C29" s="11"/>
      <c r="D29" s="7">
        <v>5146.9799999999996</v>
      </c>
      <c r="E29" s="2"/>
      <c r="F29" s="6">
        <f t="shared" si="8"/>
        <v>0</v>
      </c>
      <c r="G29" s="2"/>
      <c r="H29" s="7">
        <v>4755</v>
      </c>
      <c r="I29" s="2"/>
      <c r="J29" s="6">
        <f t="shared" si="9"/>
        <v>0</v>
      </c>
      <c r="K29" s="2"/>
      <c r="L29" s="7">
        <f t="shared" si="10"/>
        <v>391.97999999999956</v>
      </c>
      <c r="M29" s="2"/>
      <c r="N29" s="6">
        <f t="shared" si="11"/>
        <v>8.243533123028382E-2</v>
      </c>
      <c r="O29" s="11"/>
      <c r="P29" s="7">
        <v>34584.76</v>
      </c>
      <c r="Q29" s="2"/>
      <c r="R29" s="6">
        <f t="shared" si="12"/>
        <v>0</v>
      </c>
      <c r="S29" s="2"/>
      <c r="T29" s="7">
        <v>36605.1</v>
      </c>
      <c r="U29" s="2"/>
      <c r="V29" s="6">
        <f t="shared" si="13"/>
        <v>0</v>
      </c>
      <c r="W29" s="2"/>
      <c r="X29" s="7">
        <f t="shared" si="14"/>
        <v>-2020.3399999999965</v>
      </c>
      <c r="Y29" s="2"/>
      <c r="Z29" s="6">
        <f t="shared" si="15"/>
        <v>-5.5192855640334181E-2</v>
      </c>
    </row>
    <row r="30" spans="1:26" s="24" customFormat="1" hidden="1" outlineLevel="2" x14ac:dyDescent="0.3">
      <c r="A30" s="27"/>
      <c r="B30" s="11" t="str">
        <f>CONCATENATE("          ", "6007", " - ", "STUDENT HOURLY")</f>
        <v xml:space="preserve">          6007 - STUDENT HOURLY</v>
      </c>
      <c r="C30" s="11"/>
      <c r="D30" s="7"/>
      <c r="E30" s="2"/>
      <c r="F30" s="6">
        <f t="shared" si="8"/>
        <v>0</v>
      </c>
      <c r="G30" s="2"/>
      <c r="H30" s="7">
        <v>1776</v>
      </c>
      <c r="I30" s="2"/>
      <c r="J30" s="6">
        <f t="shared" si="9"/>
        <v>0</v>
      </c>
      <c r="K30" s="2"/>
      <c r="L30" s="7">
        <f t="shared" si="10"/>
        <v>-1776</v>
      </c>
      <c r="M30" s="2"/>
      <c r="N30" s="6">
        <f t="shared" si="11"/>
        <v>-1</v>
      </c>
      <c r="O30" s="11"/>
      <c r="P30" s="7">
        <v>0</v>
      </c>
      <c r="Q30" s="2"/>
      <c r="R30" s="6">
        <f t="shared" si="12"/>
        <v>0</v>
      </c>
      <c r="S30" s="2"/>
      <c r="T30" s="7">
        <v>1776</v>
      </c>
      <c r="U30" s="2"/>
      <c r="V30" s="6">
        <f t="shared" si="13"/>
        <v>0</v>
      </c>
      <c r="W30" s="2"/>
      <c r="X30" s="7">
        <f t="shared" si="14"/>
        <v>-1776</v>
      </c>
      <c r="Y30" s="2"/>
      <c r="Z30" s="6">
        <f t="shared" si="15"/>
        <v>-1</v>
      </c>
    </row>
    <row r="31" spans="1:26" s="24" customFormat="1" hidden="1" outlineLevel="2" x14ac:dyDescent="0.3">
      <c r="A31" s="27"/>
      <c r="B31" s="11" t="str">
        <f>CONCATENATE("          ", "6008", " - ", "STUDENT HOURLY-FICA EXEMPT")</f>
        <v xml:space="preserve">          6008 - STUDENT HOURLY-FICA EXEMPT</v>
      </c>
      <c r="C31" s="11"/>
      <c r="D31" s="7"/>
      <c r="E31" s="2"/>
      <c r="F31" s="6">
        <f t="shared" si="8"/>
        <v>0</v>
      </c>
      <c r="G31" s="2"/>
      <c r="H31" s="7">
        <v>1366.76</v>
      </c>
      <c r="I31" s="2"/>
      <c r="J31" s="6">
        <f t="shared" si="9"/>
        <v>0</v>
      </c>
      <c r="K31" s="2"/>
      <c r="L31" s="7">
        <f t="shared" si="10"/>
        <v>-1366.76</v>
      </c>
      <c r="M31" s="2"/>
      <c r="N31" s="6">
        <f t="shared" si="11"/>
        <v>-1</v>
      </c>
      <c r="O31" s="11"/>
      <c r="P31" s="7">
        <v>11475.2</v>
      </c>
      <c r="Q31" s="2"/>
      <c r="R31" s="6">
        <f t="shared" si="12"/>
        <v>0</v>
      </c>
      <c r="S31" s="2"/>
      <c r="T31" s="7">
        <v>9595.3799999999992</v>
      </c>
      <c r="U31" s="2"/>
      <c r="V31" s="6">
        <f t="shared" si="13"/>
        <v>0</v>
      </c>
      <c r="W31" s="2"/>
      <c r="X31" s="7">
        <f t="shared" si="14"/>
        <v>1879.8200000000015</v>
      </c>
      <c r="Y31" s="2"/>
      <c r="Z31" s="6">
        <f t="shared" si="15"/>
        <v>0.19590886447436179</v>
      </c>
    </row>
    <row r="32" spans="1:26" s="29" customFormat="1" outlineLevel="1" collapsed="1" x14ac:dyDescent="0.3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173.21</v>
      </c>
      <c r="E32" s="1"/>
      <c r="F32" s="5">
        <f t="shared" ref="F32:F41" si="16">IF(D$12=0,0,D32/D$12)</f>
        <v>0</v>
      </c>
      <c r="G32" s="1"/>
      <c r="H32" s="1">
        <f>SUM(OSRRefH22_2x_0)</f>
        <v>173.21</v>
      </c>
      <c r="I32" s="1"/>
      <c r="J32" s="5">
        <f t="shared" ref="J32:J41" si="17">IF(H$12=0,0,H32/H$12)</f>
        <v>0</v>
      </c>
      <c r="K32" s="1"/>
      <c r="L32" s="1">
        <f t="shared" ref="L32:L41" si="18">+D32-H32</f>
        <v>0</v>
      </c>
      <c r="M32" s="1"/>
      <c r="N32" s="5">
        <f t="shared" ref="N32:N41" si="19">IF(H32=0,0,L32/H32)</f>
        <v>0</v>
      </c>
      <c r="O32" s="14"/>
      <c r="P32" s="1">
        <f>SUM(OSRRefP22_2x_0)</f>
        <v>1266.07</v>
      </c>
      <c r="Q32" s="1"/>
      <c r="R32" s="5">
        <f t="shared" ref="R32:R41" si="20">IF(P$12=0,0,P32/P$12)</f>
        <v>0</v>
      </c>
      <c r="S32" s="1"/>
      <c r="T32" s="1">
        <f>SUM(OSRRefT22_2x_0)</f>
        <v>1039.26</v>
      </c>
      <c r="U32" s="1"/>
      <c r="V32" s="5">
        <f t="shared" ref="V32:V41" si="21">IF(T$12=0,0,T32/T$12)</f>
        <v>0</v>
      </c>
      <c r="W32" s="1"/>
      <c r="X32" s="1">
        <f t="shared" ref="X32:X41" si="22">+P32-T32</f>
        <v>226.80999999999995</v>
      </c>
      <c r="Y32" s="1"/>
      <c r="Z32" s="5">
        <f t="shared" ref="Z32:Z41" si="23">IF(T32=0,0,X32/T32)</f>
        <v>0.21824182591459301</v>
      </c>
    </row>
    <row r="33" spans="1:26" s="24" customFormat="1" hidden="1" outlineLevel="2" x14ac:dyDescent="0.3">
      <c r="A33" s="27"/>
      <c r="B33" s="11" t="str">
        <f>CONCATENATE("          ", "6362", " - ", "ADVERTISING EXPENSE")</f>
        <v xml:space="preserve">          6362 - ADVERTISING EXPENSE</v>
      </c>
      <c r="C33" s="11"/>
      <c r="D33" s="7">
        <v>173.21</v>
      </c>
      <c r="E33" s="2"/>
      <c r="F33" s="6">
        <f t="shared" si="16"/>
        <v>0</v>
      </c>
      <c r="G33" s="2"/>
      <c r="H33" s="7">
        <v>173.21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1266.07</v>
      </c>
      <c r="Q33" s="2"/>
      <c r="R33" s="6">
        <f t="shared" si="20"/>
        <v>0</v>
      </c>
      <c r="S33" s="2"/>
      <c r="T33" s="7">
        <v>1039.26</v>
      </c>
      <c r="U33" s="2"/>
      <c r="V33" s="6">
        <f t="shared" si="21"/>
        <v>0</v>
      </c>
      <c r="W33" s="2"/>
      <c r="X33" s="7">
        <f t="shared" si="22"/>
        <v>226.80999999999995</v>
      </c>
      <c r="Y33" s="2"/>
      <c r="Z33" s="6">
        <f t="shared" si="23"/>
        <v>0.21824182591459301</v>
      </c>
    </row>
    <row r="34" spans="1:26" s="29" customFormat="1" outlineLevel="1" collapsed="1" x14ac:dyDescent="0.3">
      <c r="A34" s="28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0</v>
      </c>
      <c r="E34" s="1"/>
      <c r="F34" s="5">
        <f t="shared" si="16"/>
        <v>0</v>
      </c>
      <c r="G34" s="1"/>
      <c r="H34" s="1">
        <f>SUM(OSRRefH22_3x_0)</f>
        <v>271.27</v>
      </c>
      <c r="I34" s="1"/>
      <c r="J34" s="5">
        <f t="shared" si="17"/>
        <v>0</v>
      </c>
      <c r="K34" s="1"/>
      <c r="L34" s="1">
        <f t="shared" si="18"/>
        <v>-271.27</v>
      </c>
      <c r="M34" s="1"/>
      <c r="N34" s="5">
        <f t="shared" si="19"/>
        <v>-1</v>
      </c>
      <c r="O34" s="14"/>
      <c r="P34" s="1">
        <f>SUM(OSRRefP22_3x_0)</f>
        <v>0</v>
      </c>
      <c r="Q34" s="1"/>
      <c r="R34" s="5">
        <f t="shared" si="20"/>
        <v>0</v>
      </c>
      <c r="S34" s="1"/>
      <c r="T34" s="1">
        <f>SUM(OSRRefT22_3x_0)</f>
        <v>1898.89</v>
      </c>
      <c r="U34" s="1"/>
      <c r="V34" s="5">
        <f t="shared" si="21"/>
        <v>0</v>
      </c>
      <c r="W34" s="1"/>
      <c r="X34" s="1">
        <f t="shared" si="22"/>
        <v>-1898.89</v>
      </c>
      <c r="Y34" s="1"/>
      <c r="Z34" s="5">
        <f t="shared" si="23"/>
        <v>-1</v>
      </c>
    </row>
    <row r="35" spans="1:26" s="24" customFormat="1" hidden="1" outlineLevel="2" x14ac:dyDescent="0.3">
      <c r="A35" s="27"/>
      <c r="B35" s="11" t="str">
        <f>CONCATENATE("          ", "6322", " - ", "EQUIPMENT DEPRECIATION EXPENSE")</f>
        <v xml:space="preserve">          6322 - EQUIPMENT DEPRECIATION EXPENSE</v>
      </c>
      <c r="C35" s="11"/>
      <c r="D35" s="7"/>
      <c r="E35" s="2"/>
      <c r="F35" s="6">
        <f t="shared" si="16"/>
        <v>0</v>
      </c>
      <c r="G35" s="2"/>
      <c r="H35" s="7">
        <v>271.27</v>
      </c>
      <c r="I35" s="2"/>
      <c r="J35" s="6">
        <f t="shared" si="17"/>
        <v>0</v>
      </c>
      <c r="K35" s="2"/>
      <c r="L35" s="7">
        <f t="shared" si="18"/>
        <v>-271.27</v>
      </c>
      <c r="M35" s="2"/>
      <c r="N35" s="6">
        <f t="shared" si="19"/>
        <v>-1</v>
      </c>
      <c r="O35" s="11"/>
      <c r="P35" s="7"/>
      <c r="Q35" s="2"/>
      <c r="R35" s="6">
        <f t="shared" si="20"/>
        <v>0</v>
      </c>
      <c r="S35" s="2"/>
      <c r="T35" s="7">
        <v>1898.89</v>
      </c>
      <c r="U35" s="2"/>
      <c r="V35" s="6">
        <f t="shared" si="21"/>
        <v>0</v>
      </c>
      <c r="W35" s="2"/>
      <c r="X35" s="7">
        <f t="shared" si="22"/>
        <v>-1898.89</v>
      </c>
      <c r="Y35" s="2"/>
      <c r="Z35" s="6">
        <f t="shared" si="23"/>
        <v>-1</v>
      </c>
    </row>
    <row r="36" spans="1:26" s="29" customFormat="1" outlineLevel="1" collapsed="1" x14ac:dyDescent="0.3">
      <c r="A36" s="28"/>
      <c r="B36" s="14" t="str">
        <f>CONCATENATE("     ","Repair and Maintenance                            ")</f>
        <v xml:space="preserve">     Repair and Maintenance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SUM(OSRRefP22_4x_0)</f>
        <v>63.36</v>
      </c>
      <c r="Q36" s="1"/>
      <c r="R36" s="5">
        <f t="shared" si="20"/>
        <v>0</v>
      </c>
      <c r="S36" s="1"/>
      <c r="T36" s="1">
        <f>SUM(OSRRefT22_4x_0)</f>
        <v>0</v>
      </c>
      <c r="U36" s="1"/>
      <c r="V36" s="5">
        <f t="shared" si="21"/>
        <v>0</v>
      </c>
      <c r="W36" s="1"/>
      <c r="X36" s="1">
        <f t="shared" si="22"/>
        <v>63.36</v>
      </c>
      <c r="Y36" s="1"/>
      <c r="Z36" s="5">
        <f t="shared" si="23"/>
        <v>0</v>
      </c>
    </row>
    <row r="37" spans="1:26" s="24" customFormat="1" hidden="1" outlineLevel="2" x14ac:dyDescent="0.3">
      <c r="A37" s="27"/>
      <c r="B37" s="11" t="str">
        <f>CONCATENATE("          ", "6375", " - ", "OUTSIDE REPAIRS &amp; MAINTENANCE")</f>
        <v xml:space="preserve">          6375 - OUTSIDE REPAIRS &amp; MAINTENANCE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63.36</v>
      </c>
      <c r="Q37" s="2"/>
      <c r="R37" s="6">
        <f t="shared" si="20"/>
        <v>0</v>
      </c>
      <c r="S37" s="2"/>
      <c r="T37" s="7"/>
      <c r="U37" s="2"/>
      <c r="V37" s="6">
        <f t="shared" si="21"/>
        <v>0</v>
      </c>
      <c r="W37" s="2"/>
      <c r="X37" s="7">
        <f t="shared" si="22"/>
        <v>63.36</v>
      </c>
      <c r="Y37" s="2"/>
      <c r="Z37" s="6">
        <f t="shared" si="23"/>
        <v>0</v>
      </c>
    </row>
    <row r="38" spans="1:26" s="29" customFormat="1" outlineLevel="1" collapsed="1" x14ac:dyDescent="0.3">
      <c r="A38" s="28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SUM(OSRRefD22_5x_0)</f>
        <v>0</v>
      </c>
      <c r="E38" s="1"/>
      <c r="F38" s="5">
        <f t="shared" si="16"/>
        <v>0</v>
      </c>
      <c r="G38" s="1"/>
      <c r="H38" s="1">
        <f>SUM(OSRRefH22_5x_0)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SUM(OSRRefP22_5x_0)</f>
        <v>11.12</v>
      </c>
      <c r="Q38" s="1"/>
      <c r="R38" s="5">
        <f t="shared" si="20"/>
        <v>0</v>
      </c>
      <c r="S38" s="1"/>
      <c r="T38" s="1">
        <f>SUM(OSRRefT22_5x_0)</f>
        <v>0</v>
      </c>
      <c r="U38" s="1"/>
      <c r="V38" s="5">
        <f t="shared" si="21"/>
        <v>0</v>
      </c>
      <c r="W38" s="1"/>
      <c r="X38" s="1">
        <f t="shared" si="22"/>
        <v>11.12</v>
      </c>
      <c r="Y38" s="1"/>
      <c r="Z38" s="5">
        <f t="shared" si="23"/>
        <v>0</v>
      </c>
    </row>
    <row r="39" spans="1:26" s="24" customFormat="1" hidden="1" outlineLevel="2" x14ac:dyDescent="0.3">
      <c r="A39" s="27"/>
      <c r="B39" s="11" t="str">
        <f>CONCATENATE("          ", "6241", " - ", "OFFICE EXPENSE")</f>
        <v xml:space="preserve">          6241 - OFFICE EXPENSE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>
        <v>11.12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11.12</v>
      </c>
      <c r="Y39" s="2"/>
      <c r="Z39" s="6">
        <f t="shared" si="23"/>
        <v>0</v>
      </c>
    </row>
    <row r="40" spans="1:26" s="29" customFormat="1" outlineLevel="1" collapsed="1" x14ac:dyDescent="0.3">
      <c r="A40" s="28"/>
      <c r="B40" s="14" t="str">
        <f>CONCATENATE("     ","Telephone/Data Lines                              ")</f>
        <v xml:space="preserve">     Telephone/Data Lines                              </v>
      </c>
      <c r="C40" s="14"/>
      <c r="D40" s="1">
        <f>SUM(OSRRefD22_6x_0)</f>
        <v>36.299999999999997</v>
      </c>
      <c r="E40" s="1"/>
      <c r="F40" s="5">
        <f t="shared" si="16"/>
        <v>0</v>
      </c>
      <c r="G40" s="1"/>
      <c r="H40" s="1">
        <f>SUM(OSRRefH22_6x_0)</f>
        <v>36.15</v>
      </c>
      <c r="I40" s="1"/>
      <c r="J40" s="5">
        <f t="shared" si="17"/>
        <v>0</v>
      </c>
      <c r="K40" s="1"/>
      <c r="L40" s="1">
        <f t="shared" si="18"/>
        <v>0.14999999999999858</v>
      </c>
      <c r="M40" s="1"/>
      <c r="N40" s="5">
        <f t="shared" si="19"/>
        <v>4.1493775933609568E-3</v>
      </c>
      <c r="O40" s="14"/>
      <c r="P40" s="1">
        <f>SUM(OSRRefP22_6x_0)</f>
        <v>324.39999999999998</v>
      </c>
      <c r="Q40" s="1"/>
      <c r="R40" s="5">
        <f t="shared" si="20"/>
        <v>0</v>
      </c>
      <c r="S40" s="1"/>
      <c r="T40" s="1">
        <f>SUM(OSRRefT22_6x_0)</f>
        <v>216.15</v>
      </c>
      <c r="U40" s="1"/>
      <c r="V40" s="5">
        <f t="shared" si="21"/>
        <v>0</v>
      </c>
      <c r="W40" s="1"/>
      <c r="X40" s="1">
        <f t="shared" si="22"/>
        <v>108.24999999999997</v>
      </c>
      <c r="Y40" s="1"/>
      <c r="Z40" s="5">
        <f t="shared" si="23"/>
        <v>0.50080962294702736</v>
      </c>
    </row>
    <row r="41" spans="1:26" s="24" customFormat="1" hidden="1" outlineLevel="2" x14ac:dyDescent="0.3">
      <c r="A41" s="27"/>
      <c r="B41" s="11" t="str">
        <f>CONCATENATE("          ", "6309", " - ", "TELEPHONE")</f>
        <v xml:space="preserve">          6309 - TELEPHONE</v>
      </c>
      <c r="C41" s="11"/>
      <c r="D41" s="7">
        <v>36.299999999999997</v>
      </c>
      <c r="E41" s="2"/>
      <c r="F41" s="6">
        <f t="shared" si="16"/>
        <v>0</v>
      </c>
      <c r="G41" s="2"/>
      <c r="H41" s="7">
        <v>36.15</v>
      </c>
      <c r="I41" s="2"/>
      <c r="J41" s="6">
        <f t="shared" si="17"/>
        <v>0</v>
      </c>
      <c r="K41" s="2"/>
      <c r="L41" s="7">
        <f t="shared" si="18"/>
        <v>0.14999999999999858</v>
      </c>
      <c r="M41" s="2"/>
      <c r="N41" s="6">
        <f t="shared" si="19"/>
        <v>4.1493775933609568E-3</v>
      </c>
      <c r="O41" s="11"/>
      <c r="P41" s="7">
        <v>324.39999999999998</v>
      </c>
      <c r="Q41" s="2"/>
      <c r="R41" s="6">
        <f t="shared" si="20"/>
        <v>0</v>
      </c>
      <c r="S41" s="2"/>
      <c r="T41" s="7">
        <v>216.15</v>
      </c>
      <c r="U41" s="2"/>
      <c r="V41" s="6">
        <f t="shared" si="21"/>
        <v>0</v>
      </c>
      <c r="W41" s="2"/>
      <c r="X41" s="7">
        <f t="shared" si="22"/>
        <v>108.24999999999997</v>
      </c>
      <c r="Y41" s="2"/>
      <c r="Z41" s="6">
        <f t="shared" si="23"/>
        <v>0.50080962294702736</v>
      </c>
    </row>
    <row r="42" spans="1:26" s="52" customFormat="1" x14ac:dyDescent="0.3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3">
      <c r="A43" s="10"/>
      <c r="B43" s="26" t="s">
        <v>292</v>
      </c>
      <c r="C43" s="10"/>
      <c r="D43" s="4">
        <f>SUM(0)</f>
        <v>0</v>
      </c>
      <c r="E43" s="4"/>
      <c r="F43" s="12">
        <f>IF(D$12=0,0,D43/D$12)</f>
        <v>0</v>
      </c>
      <c r="G43" s="4"/>
      <c r="H43" s="4">
        <f>SUM(0)</f>
        <v>0</v>
      </c>
      <c r="I43" s="4"/>
      <c r="J43" s="12">
        <f>IF(H$12=0,0,H43/H$12)</f>
        <v>0</v>
      </c>
      <c r="K43" s="4"/>
      <c r="L43" s="4">
        <f>+D43-H43</f>
        <v>0</v>
      </c>
      <c r="M43" s="4"/>
      <c r="N43" s="12">
        <f>IF(H43=0,0,L43/H43)</f>
        <v>0</v>
      </c>
      <c r="O43" s="10"/>
      <c r="P43" s="4">
        <f>SUM(0)</f>
        <v>0</v>
      </c>
      <c r="Q43" s="4"/>
      <c r="R43" s="12">
        <f>IF(P$12=0,0,P43/P$12)</f>
        <v>0</v>
      </c>
      <c r="S43" s="4"/>
      <c r="T43" s="4">
        <f>SUM(0)</f>
        <v>0</v>
      </c>
      <c r="U43" s="4"/>
      <c r="V43" s="12">
        <f>IF(T$12=0,0,T43/T$12)</f>
        <v>0</v>
      </c>
      <c r="W43" s="4"/>
      <c r="X43" s="4">
        <f>+P43-T43</f>
        <v>0</v>
      </c>
      <c r="Y43" s="4"/>
      <c r="Z43" s="12">
        <f>IF(T43=0,0,X43/T43)</f>
        <v>0</v>
      </c>
    </row>
    <row r="44" spans="1:26" x14ac:dyDescent="0.3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3">
      <c r="A45" s="10"/>
      <c r="B45" s="25" t="s">
        <v>276</v>
      </c>
      <c r="C45" s="25"/>
      <c r="D45" s="21">
        <f>+D16-D18+D43</f>
        <v>-6888.15</v>
      </c>
      <c r="E45" s="13"/>
      <c r="F45" s="22">
        <f>IF(D$12=0,0,D45/D$12)</f>
        <v>0</v>
      </c>
      <c r="G45" s="13"/>
      <c r="H45" s="21">
        <f>+H16-H18+H43</f>
        <v>-10403.06</v>
      </c>
      <c r="I45" s="13"/>
      <c r="J45" s="22">
        <f>IF(H$12=0,0,H45/H$12)</f>
        <v>0</v>
      </c>
      <c r="K45" s="15"/>
      <c r="L45" s="21">
        <f>+D45-H45</f>
        <v>3514.91</v>
      </c>
      <c r="M45" s="15"/>
      <c r="N45" s="22">
        <f>IF(H45=0,0,L45/H45)</f>
        <v>-0.33787270283935689</v>
      </c>
      <c r="O45" s="26"/>
      <c r="P45" s="21">
        <f>+P16-P18+P43</f>
        <v>-60888.26</v>
      </c>
      <c r="Q45" s="13"/>
      <c r="R45" s="22">
        <f>IF(P$12=0,0,P45/P$12)</f>
        <v>0</v>
      </c>
      <c r="S45" s="13"/>
      <c r="T45" s="21">
        <f>+T16-T18+T43</f>
        <v>-62645.85</v>
      </c>
      <c r="U45" s="13"/>
      <c r="V45" s="22">
        <f>IF(T$12=0,0,T45/T$12)</f>
        <v>0</v>
      </c>
      <c r="W45" s="15"/>
      <c r="X45" s="21">
        <f>+P45-T45</f>
        <v>1757.5899999999965</v>
      </c>
      <c r="Y45" s="15"/>
      <c r="Z45" s="22">
        <f>IF(T45=0,0,X45/T45)</f>
        <v>-2.8055968591694368E-2</v>
      </c>
    </row>
    <row r="46" spans="1:26" x14ac:dyDescent="0.3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51"/>
      <c r="B47" s="10" t="s">
        <v>127</v>
      </c>
      <c r="C47" s="10"/>
      <c r="D47" s="4"/>
      <c r="E47" s="4"/>
      <c r="F47" s="12">
        <f>IF(D$12=0,0,D47/D$12)</f>
        <v>0</v>
      </c>
      <c r="G47" s="4"/>
      <c r="H47" s="4"/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/>
      <c r="Q47" s="4"/>
      <c r="R47" s="12">
        <f>IF(P$12=0,0,P47/P$12)</f>
        <v>0</v>
      </c>
      <c r="S47" s="4"/>
      <c r="T47" s="4"/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3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ht="15" thickBot="1" x14ac:dyDescent="0.35">
      <c r="A49" s="10"/>
      <c r="B49" s="25" t="s">
        <v>125</v>
      </c>
      <c r="C49" s="25"/>
      <c r="D49" s="36">
        <f>+D45-D47</f>
        <v>-6888.15</v>
      </c>
      <c r="E49" s="13"/>
      <c r="F49" s="31">
        <f>IF(D$12=0,0,D49/D$12)</f>
        <v>0</v>
      </c>
      <c r="G49" s="13"/>
      <c r="H49" s="36">
        <f>+H45-H47</f>
        <v>-10403.06</v>
      </c>
      <c r="I49" s="13"/>
      <c r="J49" s="31">
        <f>IF(H$12=0,0,H49/H$12)</f>
        <v>0</v>
      </c>
      <c r="K49" s="15"/>
      <c r="L49" s="36">
        <f>D49-H49</f>
        <v>3514.91</v>
      </c>
      <c r="M49" s="15"/>
      <c r="N49" s="31">
        <f>IF(H49=0,0,L49/H49)</f>
        <v>-0.33787270283935689</v>
      </c>
      <c r="O49" s="26"/>
      <c r="P49" s="36">
        <f>+P45-P47</f>
        <v>-60888.26</v>
      </c>
      <c r="Q49" s="13"/>
      <c r="R49" s="31">
        <f>IF(P$12=0,0,P49/P$12)</f>
        <v>0</v>
      </c>
      <c r="S49" s="13"/>
      <c r="T49" s="36">
        <f>+T45-T47</f>
        <v>-62645.85</v>
      </c>
      <c r="U49" s="13"/>
      <c r="V49" s="31">
        <f>IF(T$12=0,0,T49/T$12)</f>
        <v>0</v>
      </c>
      <c r="W49" s="15"/>
      <c r="X49" s="36">
        <f>P49-T49</f>
        <v>1757.5899999999965</v>
      </c>
      <c r="Y49" s="15"/>
      <c r="Z49" s="31">
        <f>IF(T49=0,0,X49/T49)</f>
        <v>-2.8055968591694368E-2</v>
      </c>
    </row>
    <row r="50" spans="1:26" ht="15" thickTop="1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x14ac:dyDescent="0.3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" thickBot="1" x14ac:dyDescent="0.35">
      <c r="A52" s="10"/>
      <c r="B52" s="25" t="s">
        <v>293</v>
      </c>
      <c r="C52" s="25"/>
      <c r="D52" s="35">
        <f>SUM(D49:D51)</f>
        <v>-6888.15</v>
      </c>
      <c r="E52" s="13"/>
      <c r="F52" s="32">
        <f>IF(D$12=0,0,D52/D$12)</f>
        <v>0</v>
      </c>
      <c r="G52" s="13"/>
      <c r="H52" s="35">
        <f>SUM(H49:H51)</f>
        <v>-10403.06</v>
      </c>
      <c r="I52" s="13"/>
      <c r="J52" s="32">
        <f>IF(H$12=0,0,H52/H$12)</f>
        <v>0</v>
      </c>
      <c r="K52" s="15"/>
      <c r="L52" s="35">
        <f>+D52-H52</f>
        <v>3514.91</v>
      </c>
      <c r="M52" s="15"/>
      <c r="N52" s="32">
        <f>IF(H52=0,0,L52/H52)</f>
        <v>-0.33787270283935689</v>
      </c>
      <c r="O52" s="26"/>
      <c r="P52" s="35">
        <f>SUM(P49:P51)</f>
        <v>-60888.26</v>
      </c>
      <c r="Q52" s="13"/>
      <c r="R52" s="32">
        <f>IF(P$12=0,0,P52/P$12)</f>
        <v>0</v>
      </c>
      <c r="S52" s="13"/>
      <c r="T52" s="35">
        <f>SUM(T49:T51)</f>
        <v>-62645.85</v>
      </c>
      <c r="U52" s="13"/>
      <c r="V52" s="32">
        <f>IF(T$12=0,0,T52/T$12)</f>
        <v>0</v>
      </c>
      <c r="W52" s="15"/>
      <c r="X52" s="35">
        <f>+P52-T52</f>
        <v>1757.5899999999965</v>
      </c>
      <c r="Y52" s="15"/>
      <c r="Z52" s="32">
        <f>IF(T52=0,0,X52/T52)</f>
        <v>-2.8055968591694368E-2</v>
      </c>
    </row>
    <row r="53" spans="1:26" ht="15" thickTop="1" x14ac:dyDescent="0.3">
      <c r="A53" s="9"/>
      <c r="C53" s="9"/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3">
      <c r="A54" s="9"/>
      <c r="B54" s="54">
        <v>44604.028475694446</v>
      </c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3" t="s">
        <v>56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9"/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760387.65000000014</v>
      </c>
      <c r="E12" s="4"/>
      <c r="F12" s="12"/>
      <c r="G12" s="4"/>
      <c r="H12" s="4">
        <f>SUM(OSRRefH13x_0)</f>
        <v>1178823.73</v>
      </c>
      <c r="I12" s="4"/>
      <c r="J12" s="12"/>
      <c r="K12" s="4"/>
      <c r="L12" s="4">
        <f t="shared" ref="L12:L80" si="0">+D12-H12</f>
        <v>-418436.07999999984</v>
      </c>
      <c r="M12" s="4"/>
      <c r="N12" s="12">
        <f t="shared" ref="N12:N80" si="1">IF(H12=0,0,L12/H12)</f>
        <v>-0.35496068610698889</v>
      </c>
      <c r="O12" s="10"/>
      <c r="P12" s="4">
        <f>SUM(OSRRefP13x_0)</f>
        <v>4497925.5399999991</v>
      </c>
      <c r="Q12" s="4"/>
      <c r="R12" s="12"/>
      <c r="S12" s="4"/>
      <c r="T12" s="4">
        <f>SUM(OSRRefT13x_0)</f>
        <v>3880024.8599999994</v>
      </c>
      <c r="U12" s="4"/>
      <c r="V12" s="12"/>
      <c r="W12" s="4"/>
      <c r="X12" s="4">
        <f t="shared" ref="X12:X80" si="2">+P12-T12</f>
        <v>617900.6799999997</v>
      </c>
      <c r="Y12" s="4"/>
      <c r="Z12" s="12">
        <f t="shared" ref="Z12:Z80" si="3">IF(T12=0,0,X12/T12)</f>
        <v>0.15925173221699404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--658739.54</f>
        <v>658739.54</v>
      </c>
      <c r="E13" s="2"/>
      <c r="F13" s="19"/>
      <c r="G13" s="2"/>
      <c r="H13" s="2">
        <f>-12178.94</f>
        <v>-12178.94</v>
      </c>
      <c r="I13" s="2"/>
      <c r="J13" s="19"/>
      <c r="K13" s="2"/>
      <c r="L13" s="2">
        <f t="shared" si="0"/>
        <v>670918.48</v>
      </c>
      <c r="M13" s="2"/>
      <c r="N13" s="19">
        <f t="shared" si="1"/>
        <v>-55.088413277345971</v>
      </c>
      <c r="O13" s="11"/>
      <c r="P13" s="2">
        <f>--3784245.9</f>
        <v>3784245.9</v>
      </c>
      <c r="Q13" s="2"/>
      <c r="R13" s="19"/>
      <c r="S13" s="2"/>
      <c r="T13" s="2">
        <f>-101008.03</f>
        <v>-101008.03</v>
      </c>
      <c r="U13" s="2"/>
      <c r="V13" s="19"/>
      <c r="W13" s="2"/>
      <c r="X13" s="2">
        <f t="shared" si="2"/>
        <v>3885253.9299999997</v>
      </c>
      <c r="Y13" s="2"/>
      <c r="Z13" s="19">
        <f t="shared" si="3"/>
        <v>-38.464802550846699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5" si="4">0</f>
        <v>0</v>
      </c>
      <c r="E14" s="2"/>
      <c r="F14" s="19"/>
      <c r="G14" s="2"/>
      <c r="H14" s="2">
        <f>--459430.32</f>
        <v>459430.32</v>
      </c>
      <c r="I14" s="2"/>
      <c r="J14" s="19"/>
      <c r="K14" s="2"/>
      <c r="L14" s="2">
        <f t="shared" si="0"/>
        <v>-459430.32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--1190096.34</f>
        <v>1190096.3400000001</v>
      </c>
      <c r="U14" s="2"/>
      <c r="V14" s="19"/>
      <c r="W14" s="2"/>
      <c r="X14" s="2">
        <f t="shared" si="2"/>
        <v>-1190096.3400000001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--238947.44</f>
        <v>238947.44</v>
      </c>
      <c r="I15" s="2"/>
      <c r="J15" s="19"/>
      <c r="K15" s="2"/>
      <c r="L15" s="2">
        <f t="shared" si="0"/>
        <v>-238947.44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--562401.5</f>
        <v>562401.5</v>
      </c>
      <c r="U15" s="2"/>
      <c r="V15" s="19"/>
      <c r="W15" s="2"/>
      <c r="X15" s="2">
        <f t="shared" si="2"/>
        <v>-562401.5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--34.62</f>
        <v>34.619999999999997</v>
      </c>
      <c r="I21" s="2"/>
      <c r="J21" s="19"/>
      <c r="K21" s="2"/>
      <c r="L21" s="2">
        <f t="shared" si="0"/>
        <v>-34.619999999999997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--407</f>
        <v>407</v>
      </c>
      <c r="U21" s="2"/>
      <c r="V21" s="19"/>
      <c r="W21" s="2"/>
      <c r="X21" s="2">
        <f t="shared" si="2"/>
        <v>-407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--8701.79</f>
        <v>8701.7900000000009</v>
      </c>
      <c r="I22" s="2"/>
      <c r="J22" s="19"/>
      <c r="K22" s="2"/>
      <c r="L22" s="2">
        <f t="shared" si="0"/>
        <v>-8701.7900000000009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--48676.22</f>
        <v>48676.22</v>
      </c>
      <c r="U22" s="2"/>
      <c r="V22" s="19"/>
      <c r="W22" s="2"/>
      <c r="X22" s="2">
        <f t="shared" si="2"/>
        <v>-48676.22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--21773.01</f>
        <v>21773.01</v>
      </c>
      <c r="I23" s="2"/>
      <c r="J23" s="19"/>
      <c r="K23" s="2"/>
      <c r="L23" s="2">
        <f t="shared" si="0"/>
        <v>-21773.01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--38951.82</f>
        <v>38951.82</v>
      </c>
      <c r="U23" s="2"/>
      <c r="V23" s="19"/>
      <c r="W23" s="2"/>
      <c r="X23" s="2">
        <f t="shared" si="2"/>
        <v>-38951.82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--477.59</f>
        <v>477.59</v>
      </c>
      <c r="I24" s="2"/>
      <c r="J24" s="19"/>
      <c r="K24" s="2"/>
      <c r="L24" s="2">
        <f t="shared" si="0"/>
        <v>-477.59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--2587.24</f>
        <v>2587.2399999999998</v>
      </c>
      <c r="U24" s="2"/>
      <c r="V24" s="19"/>
      <c r="W24" s="2"/>
      <c r="X24" s="2">
        <f t="shared" si="2"/>
        <v>-2587.2399999999998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--89991.91</f>
        <v>89991.91</v>
      </c>
      <c r="I27" s="2"/>
      <c r="J27" s="19"/>
      <c r="K27" s="2"/>
      <c r="L27" s="2">
        <f t="shared" si="0"/>
        <v>-89991.91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--598102.9</f>
        <v>598102.9</v>
      </c>
      <c r="U27" s="2"/>
      <c r="V27" s="19"/>
      <c r="W27" s="2"/>
      <c r="X27" s="2">
        <f t="shared" si="2"/>
        <v>-598102.9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--51480.95</f>
        <v>51480.95</v>
      </c>
      <c r="I28" s="2"/>
      <c r="J28" s="19"/>
      <c r="K28" s="2"/>
      <c r="L28" s="2">
        <f t="shared" si="0"/>
        <v>-51480.95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--249099.27</f>
        <v>249099.27</v>
      </c>
      <c r="U28" s="2"/>
      <c r="V28" s="19"/>
      <c r="W28" s="2"/>
      <c r="X28" s="2">
        <f t="shared" si="2"/>
        <v>-249099.27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--9303.18</f>
        <v>9303.18</v>
      </c>
      <c r="I29" s="2"/>
      <c r="J29" s="19"/>
      <c r="K29" s="2"/>
      <c r="L29" s="2">
        <f t="shared" si="0"/>
        <v>-9303.18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--74200.88</f>
        <v>74200.88</v>
      </c>
      <c r="U29" s="2"/>
      <c r="V29" s="19"/>
      <c r="W29" s="2"/>
      <c r="X29" s="2">
        <f t="shared" si="2"/>
        <v>-74200.88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--24845.66</f>
        <v>24845.66</v>
      </c>
      <c r="I30" s="2"/>
      <c r="J30" s="19"/>
      <c r="K30" s="2"/>
      <c r="L30" s="2">
        <f t="shared" si="0"/>
        <v>-24845.66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--117954.81</f>
        <v>117954.81</v>
      </c>
      <c r="U30" s="2"/>
      <c r="V30" s="19"/>
      <c r="W30" s="2"/>
      <c r="X30" s="2">
        <f t="shared" si="2"/>
        <v>-117954.81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--1261.95</f>
        <v>1261.95</v>
      </c>
      <c r="I31" s="2"/>
      <c r="J31" s="19"/>
      <c r="K31" s="2"/>
      <c r="L31" s="2">
        <f t="shared" si="0"/>
        <v>-1261.95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--27535.62</f>
        <v>27535.62</v>
      </c>
      <c r="U31" s="2"/>
      <c r="V31" s="19"/>
      <c r="W31" s="2"/>
      <c r="X31" s="2">
        <f t="shared" si="2"/>
        <v>-27535.62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--3388.52</f>
        <v>3388.52</v>
      </c>
      <c r="I32" s="2"/>
      <c r="J32" s="19"/>
      <c r="K32" s="2"/>
      <c r="L32" s="2">
        <f t="shared" si="0"/>
        <v>-3388.52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--125449.67</f>
        <v>125449.67</v>
      </c>
      <c r="U32" s="2"/>
      <c r="V32" s="19"/>
      <c r="W32" s="2"/>
      <c r="X32" s="2">
        <f t="shared" si="2"/>
        <v>-125449.67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"4053", " - ", "TAXABLE SALES-FOOD")</f>
        <v xml:space="preserve">          4053 - TAXABLE SALES-FOOD</v>
      </c>
      <c r="C33" s="11"/>
      <c r="D33" s="2">
        <f t="shared" si="4"/>
        <v>0</v>
      </c>
      <c r="E33" s="2"/>
      <c r="F33" s="19"/>
      <c r="G33" s="2"/>
      <c r="H33" s="2">
        <f t="shared" ref="H33:H35" si="7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--698.72</f>
        <v>698.72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698.72</v>
      </c>
      <c r="Y33" s="2"/>
      <c r="Z33" s="19">
        <f t="shared" si="3"/>
        <v>0</v>
      </c>
    </row>
    <row r="34" spans="1:26" s="24" customFormat="1" hidden="1" outlineLevel="1" x14ac:dyDescent="0.3">
      <c r="A34" s="44"/>
      <c r="B34" s="11" t="str">
        <f>CONCATENATE("          ", "4081", " - ", "TAXABLE SALES-ELECTRONICS")</f>
        <v xml:space="preserve">          4081 - TAXABLE SALES-ELECTRONICS</v>
      </c>
      <c r="C34" s="11"/>
      <c r="D34" s="2">
        <f t="shared" si="4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5" si="8">0</f>
        <v>0</v>
      </c>
      <c r="Q34" s="2"/>
      <c r="R34" s="19"/>
      <c r="S34" s="2"/>
      <c r="T34" s="2">
        <f>--71.95</f>
        <v>71.95</v>
      </c>
      <c r="U34" s="2"/>
      <c r="V34" s="19"/>
      <c r="W34" s="2"/>
      <c r="X34" s="2">
        <f t="shared" si="2"/>
        <v>-71.95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"4083", " - ", "TAXABLE SALES-COMPUTER EQUIPME")</f>
        <v xml:space="preserve">          4083 - TAXABLE SALES-COMPUTER EQUIPME</v>
      </c>
      <c r="C35" s="11"/>
      <c r="D35" s="2">
        <f t="shared" si="4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8"/>
        <v>0</v>
      </c>
      <c r="Q35" s="2"/>
      <c r="R35" s="19"/>
      <c r="S35" s="2"/>
      <c r="T35" s="2">
        <f>--9.99</f>
        <v>9.99</v>
      </c>
      <c r="U35" s="2"/>
      <c r="V35" s="19"/>
      <c r="W35" s="2"/>
      <c r="X35" s="2">
        <f t="shared" si="2"/>
        <v>-9.99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--134600.91</f>
        <v>134600.91</v>
      </c>
      <c r="E36" s="2"/>
      <c r="F36" s="19"/>
      <c r="G36" s="2"/>
      <c r="H36" s="2">
        <f>--112968.19</f>
        <v>112968.19</v>
      </c>
      <c r="I36" s="2"/>
      <c r="J36" s="19"/>
      <c r="K36" s="2"/>
      <c r="L36" s="2">
        <f t="shared" si="0"/>
        <v>21632.720000000001</v>
      </c>
      <c r="M36" s="2"/>
      <c r="N36" s="19">
        <f t="shared" si="1"/>
        <v>0.1914939063819647</v>
      </c>
      <c r="O36" s="11"/>
      <c r="P36" s="2">
        <f>--924537.98</f>
        <v>924537.98</v>
      </c>
      <c r="Q36" s="2"/>
      <c r="R36" s="19"/>
      <c r="S36" s="2"/>
      <c r="T36" s="2">
        <f>--278555.86</f>
        <v>278555.86</v>
      </c>
      <c r="U36" s="2"/>
      <c r="V36" s="19"/>
      <c r="W36" s="2"/>
      <c r="X36" s="2">
        <f t="shared" si="2"/>
        <v>645982.12</v>
      </c>
      <c r="Y36" s="2"/>
      <c r="Z36" s="19">
        <f t="shared" si="3"/>
        <v>2.3190397789513386</v>
      </c>
    </row>
    <row r="37" spans="1:26" s="24" customFormat="1" hidden="1" outlineLevel="1" x14ac:dyDescent="0.3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 t="shared" ref="D37:D59" si="9">0</f>
        <v>0</v>
      </c>
      <c r="E37" s="2"/>
      <c r="F37" s="19"/>
      <c r="G37" s="2"/>
      <c r="H37" s="2">
        <f>--22084.7</f>
        <v>22084.7</v>
      </c>
      <c r="I37" s="2"/>
      <c r="J37" s="19"/>
      <c r="K37" s="2"/>
      <c r="L37" s="2">
        <f t="shared" si="0"/>
        <v>-22084.7</v>
      </c>
      <c r="M37" s="2"/>
      <c r="N37" s="19">
        <f t="shared" si="1"/>
        <v>-1</v>
      </c>
      <c r="O37" s="11"/>
      <c r="P37" s="2">
        <f t="shared" ref="P37:P59" si="10">0</f>
        <v>0</v>
      </c>
      <c r="Q37" s="2"/>
      <c r="R37" s="19"/>
      <c r="S37" s="2"/>
      <c r="T37" s="2">
        <f>--104225.63</f>
        <v>104225.63</v>
      </c>
      <c r="U37" s="2"/>
      <c r="V37" s="19"/>
      <c r="W37" s="2"/>
      <c r="X37" s="2">
        <f t="shared" si="2"/>
        <v>-104225.63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 t="shared" si="9"/>
        <v>0</v>
      </c>
      <c r="E38" s="2"/>
      <c r="F38" s="19"/>
      <c r="G38" s="2"/>
      <c r="H38" s="2">
        <f>--9330.01</f>
        <v>9330.01</v>
      </c>
      <c r="I38" s="2"/>
      <c r="J38" s="19"/>
      <c r="K38" s="2"/>
      <c r="L38" s="2">
        <f t="shared" si="0"/>
        <v>-9330.01</v>
      </c>
      <c r="M38" s="2"/>
      <c r="N38" s="19">
        <f t="shared" si="1"/>
        <v>-1</v>
      </c>
      <c r="O38" s="11"/>
      <c r="P38" s="2">
        <f t="shared" si="10"/>
        <v>0</v>
      </c>
      <c r="Q38" s="2"/>
      <c r="R38" s="19"/>
      <c r="S38" s="2"/>
      <c r="T38" s="2">
        <f>--42961.32</f>
        <v>42961.32</v>
      </c>
      <c r="U38" s="2"/>
      <c r="V38" s="19"/>
      <c r="W38" s="2"/>
      <c r="X38" s="2">
        <f t="shared" si="2"/>
        <v>-42961.32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 t="shared" si="9"/>
        <v>0</v>
      </c>
      <c r="E39" s="2"/>
      <c r="F39" s="19"/>
      <c r="G39" s="2"/>
      <c r="H39" s="2">
        <f>--853.98</f>
        <v>853.98</v>
      </c>
      <c r="I39" s="2"/>
      <c r="J39" s="19"/>
      <c r="K39" s="2"/>
      <c r="L39" s="2">
        <f t="shared" si="0"/>
        <v>-853.98</v>
      </c>
      <c r="M39" s="2"/>
      <c r="N39" s="19">
        <f t="shared" si="1"/>
        <v>-1</v>
      </c>
      <c r="O39" s="11"/>
      <c r="P39" s="2">
        <f t="shared" si="10"/>
        <v>0</v>
      </c>
      <c r="Q39" s="2"/>
      <c r="R39" s="19"/>
      <c r="S39" s="2"/>
      <c r="T39" s="2">
        <f>--1138.95</f>
        <v>1138.95</v>
      </c>
      <c r="U39" s="2"/>
      <c r="V39" s="19"/>
      <c r="W39" s="2"/>
      <c r="X39" s="2">
        <f t="shared" si="2"/>
        <v>-1138.95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9"/>
        <v>0</v>
      </c>
      <c r="E40" s="2"/>
      <c r="F40" s="19"/>
      <c r="G40" s="2"/>
      <c r="H40" s="2">
        <f>--161977.12</f>
        <v>161977.12</v>
      </c>
      <c r="I40" s="2"/>
      <c r="J40" s="19"/>
      <c r="K40" s="2"/>
      <c r="L40" s="2">
        <f t="shared" si="0"/>
        <v>-161977.12</v>
      </c>
      <c r="M40" s="2"/>
      <c r="N40" s="19">
        <f t="shared" si="1"/>
        <v>-1</v>
      </c>
      <c r="O40" s="11"/>
      <c r="P40" s="2">
        <f t="shared" si="10"/>
        <v>0</v>
      </c>
      <c r="Q40" s="2"/>
      <c r="R40" s="19"/>
      <c r="S40" s="2"/>
      <c r="T40" s="2">
        <f>--458168.13</f>
        <v>458168.13</v>
      </c>
      <c r="U40" s="2"/>
      <c r="V40" s="19"/>
      <c r="W40" s="2"/>
      <c r="X40" s="2">
        <f t="shared" si="2"/>
        <v>-458168.13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 t="shared" si="9"/>
        <v>0</v>
      </c>
      <c r="E41" s="2"/>
      <c r="F41" s="19"/>
      <c r="G41" s="2"/>
      <c r="H41" s="2">
        <f>--4661.75</f>
        <v>4661.75</v>
      </c>
      <c r="I41" s="2"/>
      <c r="J41" s="19"/>
      <c r="K41" s="2"/>
      <c r="L41" s="2">
        <f t="shared" si="0"/>
        <v>-4661.75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--6989.25</f>
        <v>6989.25</v>
      </c>
      <c r="U41" s="2"/>
      <c r="V41" s="19"/>
      <c r="W41" s="2"/>
      <c r="X41" s="2">
        <f t="shared" si="2"/>
        <v>-6989.25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9"/>
        <v>0</v>
      </c>
      <c r="E42" s="2"/>
      <c r="F42" s="19"/>
      <c r="G42" s="2"/>
      <c r="H42" s="2">
        <f>--538.3</f>
        <v>538.29999999999995</v>
      </c>
      <c r="I42" s="2"/>
      <c r="J42" s="19"/>
      <c r="K42" s="2"/>
      <c r="L42" s="2">
        <f t="shared" si="0"/>
        <v>-538.29999999999995</v>
      </c>
      <c r="M42" s="2"/>
      <c r="N42" s="19">
        <f t="shared" si="1"/>
        <v>-1</v>
      </c>
      <c r="O42" s="11"/>
      <c r="P42" s="2">
        <f t="shared" si="10"/>
        <v>0</v>
      </c>
      <c r="Q42" s="2"/>
      <c r="R42" s="19"/>
      <c r="S42" s="2"/>
      <c r="T42" s="2">
        <f>--771.73</f>
        <v>771.73</v>
      </c>
      <c r="U42" s="2"/>
      <c r="V42" s="19"/>
      <c r="W42" s="2"/>
      <c r="X42" s="2">
        <f t="shared" si="2"/>
        <v>-771.73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9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0"/>
        <v>0</v>
      </c>
      <c r="Q43" s="2"/>
      <c r="R43" s="19"/>
      <c r="S43" s="2"/>
      <c r="T43" s="2">
        <f>--52.68</f>
        <v>52.68</v>
      </c>
      <c r="U43" s="2"/>
      <c r="V43" s="19"/>
      <c r="W43" s="2"/>
      <c r="X43" s="2">
        <f t="shared" si="2"/>
        <v>-52.68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 t="shared" si="9"/>
        <v>0</v>
      </c>
      <c r="E44" s="2"/>
      <c r="F44" s="19"/>
      <c r="G44" s="2"/>
      <c r="H44" s="2">
        <f>--2539.06</f>
        <v>2539.06</v>
      </c>
      <c r="I44" s="2"/>
      <c r="J44" s="19"/>
      <c r="K44" s="2"/>
      <c r="L44" s="2">
        <f t="shared" si="0"/>
        <v>-2539.06</v>
      </c>
      <c r="M44" s="2"/>
      <c r="N44" s="19">
        <f t="shared" si="1"/>
        <v>-1</v>
      </c>
      <c r="O44" s="11"/>
      <c r="P44" s="2">
        <f t="shared" si="10"/>
        <v>0</v>
      </c>
      <c r="Q44" s="2"/>
      <c r="R44" s="19"/>
      <c r="S44" s="2"/>
      <c r="T44" s="2">
        <f>--5745.17</f>
        <v>5745.17</v>
      </c>
      <c r="U44" s="2"/>
      <c r="V44" s="19"/>
      <c r="W44" s="2"/>
      <c r="X44" s="2">
        <f t="shared" si="2"/>
        <v>-5745.17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 t="shared" si="9"/>
        <v>0</v>
      </c>
      <c r="E45" s="2"/>
      <c r="F45" s="19"/>
      <c r="G45" s="2"/>
      <c r="H45" s="2">
        <f>--4.72</f>
        <v>4.72</v>
      </c>
      <c r="I45" s="2"/>
      <c r="J45" s="19"/>
      <c r="K45" s="2"/>
      <c r="L45" s="2">
        <f t="shared" si="0"/>
        <v>-4.72</v>
      </c>
      <c r="M45" s="2"/>
      <c r="N45" s="19">
        <f t="shared" si="1"/>
        <v>-1</v>
      </c>
      <c r="O45" s="11"/>
      <c r="P45" s="2">
        <f t="shared" si="10"/>
        <v>0</v>
      </c>
      <c r="Q45" s="2"/>
      <c r="R45" s="19"/>
      <c r="S45" s="2"/>
      <c r="T45" s="2">
        <f>--29.5</f>
        <v>29.5</v>
      </c>
      <c r="U45" s="2"/>
      <c r="V45" s="19"/>
      <c r="W45" s="2"/>
      <c r="X45" s="2">
        <f t="shared" si="2"/>
        <v>-29.5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 t="shared" si="9"/>
        <v>0</v>
      </c>
      <c r="E46" s="2"/>
      <c r="F46" s="19"/>
      <c r="G46" s="2"/>
      <c r="H46" s="2">
        <f>--1098.12</f>
        <v>1098.1199999999999</v>
      </c>
      <c r="I46" s="2"/>
      <c r="J46" s="19"/>
      <c r="K46" s="2"/>
      <c r="L46" s="2">
        <f t="shared" si="0"/>
        <v>-1098.1199999999999</v>
      </c>
      <c r="M46" s="2"/>
      <c r="N46" s="19">
        <f t="shared" si="1"/>
        <v>-1</v>
      </c>
      <c r="O46" s="11"/>
      <c r="P46" s="2">
        <f t="shared" si="10"/>
        <v>0</v>
      </c>
      <c r="Q46" s="2"/>
      <c r="R46" s="19"/>
      <c r="S46" s="2"/>
      <c r="T46" s="2">
        <f>--8640.27</f>
        <v>8640.27</v>
      </c>
      <c r="U46" s="2"/>
      <c r="V46" s="19"/>
      <c r="W46" s="2"/>
      <c r="X46" s="2">
        <f t="shared" si="2"/>
        <v>-8640.27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si="9"/>
        <v>0</v>
      </c>
      <c r="E47" s="2"/>
      <c r="F47" s="19"/>
      <c r="G47" s="2"/>
      <c r="H47" s="2">
        <f t="shared" ref="H47:H50" si="11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0"/>
        <v>0</v>
      </c>
      <c r="Q47" s="2"/>
      <c r="R47" s="19"/>
      <c r="S47" s="2"/>
      <c r="T47" s="2">
        <f>--2054.37</f>
        <v>2054.37</v>
      </c>
      <c r="U47" s="2"/>
      <c r="V47" s="19"/>
      <c r="W47" s="2"/>
      <c r="X47" s="2">
        <f t="shared" si="2"/>
        <v>-2054.37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9"/>
        <v>0</v>
      </c>
      <c r="E48" s="2"/>
      <c r="F48" s="19"/>
      <c r="G48" s="2"/>
      <c r="H48" s="2">
        <f t="shared" si="11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0"/>
        <v>0</v>
      </c>
      <c r="Q48" s="2"/>
      <c r="R48" s="19"/>
      <c r="S48" s="2"/>
      <c r="T48" s="2">
        <f>--80.71</f>
        <v>80.709999999999994</v>
      </c>
      <c r="U48" s="2"/>
      <c r="V48" s="19"/>
      <c r="W48" s="2"/>
      <c r="X48" s="2">
        <f t="shared" si="2"/>
        <v>-80.709999999999994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9"/>
        <v>0</v>
      </c>
      <c r="E49" s="2"/>
      <c r="F49" s="19"/>
      <c r="G49" s="2"/>
      <c r="H49" s="2">
        <f t="shared" si="11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0"/>
        <v>0</v>
      </c>
      <c r="Q49" s="2"/>
      <c r="R49" s="19"/>
      <c r="S49" s="2"/>
      <c r="T49" s="2">
        <f>--45.53</f>
        <v>45.53</v>
      </c>
      <c r="U49" s="2"/>
      <c r="V49" s="19"/>
      <c r="W49" s="2"/>
      <c r="X49" s="2">
        <f t="shared" si="2"/>
        <v>-45.53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9"/>
        <v>0</v>
      </c>
      <c r="E50" s="2"/>
      <c r="F50" s="19"/>
      <c r="G50" s="2"/>
      <c r="H50" s="2">
        <f t="shared" si="11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0"/>
        <v>0</v>
      </c>
      <c r="Q50" s="2"/>
      <c r="R50" s="19"/>
      <c r="S50" s="2"/>
      <c r="T50" s="2">
        <f>--68.25</f>
        <v>68.25</v>
      </c>
      <c r="U50" s="2"/>
      <c r="V50" s="19"/>
      <c r="W50" s="2"/>
      <c r="X50" s="2">
        <f t="shared" si="2"/>
        <v>-68.25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 t="shared" si="9"/>
        <v>0</v>
      </c>
      <c r="E51" s="2"/>
      <c r="F51" s="19"/>
      <c r="G51" s="2"/>
      <c r="H51" s="2">
        <f>--9206.45</f>
        <v>9206.4500000000007</v>
      </c>
      <c r="I51" s="2"/>
      <c r="J51" s="19"/>
      <c r="K51" s="2"/>
      <c r="L51" s="2">
        <f t="shared" si="0"/>
        <v>-9206.4500000000007</v>
      </c>
      <c r="M51" s="2"/>
      <c r="N51" s="19">
        <f t="shared" si="1"/>
        <v>-1</v>
      </c>
      <c r="O51" s="11"/>
      <c r="P51" s="2">
        <f t="shared" si="10"/>
        <v>0</v>
      </c>
      <c r="Q51" s="2"/>
      <c r="R51" s="19"/>
      <c r="S51" s="2"/>
      <c r="T51" s="2">
        <f>--113177.42</f>
        <v>113177.42</v>
      </c>
      <c r="U51" s="2"/>
      <c r="V51" s="19"/>
      <c r="W51" s="2"/>
      <c r="X51" s="2">
        <f t="shared" si="2"/>
        <v>-113177.42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 t="shared" si="9"/>
        <v>0</v>
      </c>
      <c r="E52" s="2"/>
      <c r="F52" s="19"/>
      <c r="G52" s="2"/>
      <c r="H52" s="2">
        <f>--1872.52</f>
        <v>1872.52</v>
      </c>
      <c r="I52" s="2"/>
      <c r="J52" s="19"/>
      <c r="K52" s="2"/>
      <c r="L52" s="2">
        <f t="shared" si="0"/>
        <v>-1872.52</v>
      </c>
      <c r="M52" s="2"/>
      <c r="N52" s="19">
        <f t="shared" si="1"/>
        <v>-1</v>
      </c>
      <c r="O52" s="11"/>
      <c r="P52" s="2">
        <f t="shared" si="10"/>
        <v>0</v>
      </c>
      <c r="Q52" s="2"/>
      <c r="R52" s="19"/>
      <c r="S52" s="2"/>
      <c r="T52" s="2">
        <f>--7841.77</f>
        <v>7841.77</v>
      </c>
      <c r="U52" s="2"/>
      <c r="V52" s="19"/>
      <c r="W52" s="2"/>
      <c r="X52" s="2">
        <f t="shared" si="2"/>
        <v>-7841.77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 t="shared" si="9"/>
        <v>0</v>
      </c>
      <c r="E53" s="2"/>
      <c r="F53" s="19"/>
      <c r="G53" s="2"/>
      <c r="H53" s="2">
        <f>--51.7</f>
        <v>51.7</v>
      </c>
      <c r="I53" s="2"/>
      <c r="J53" s="19"/>
      <c r="K53" s="2"/>
      <c r="L53" s="2">
        <f t="shared" si="0"/>
        <v>-51.7</v>
      </c>
      <c r="M53" s="2"/>
      <c r="N53" s="19">
        <f t="shared" si="1"/>
        <v>-1</v>
      </c>
      <c r="O53" s="11"/>
      <c r="P53" s="2">
        <f t="shared" si="10"/>
        <v>0</v>
      </c>
      <c r="Q53" s="2"/>
      <c r="R53" s="19"/>
      <c r="S53" s="2"/>
      <c r="T53" s="2">
        <f>--2259.89</f>
        <v>2259.89</v>
      </c>
      <c r="U53" s="2"/>
      <c r="V53" s="19"/>
      <c r="W53" s="2"/>
      <c r="X53" s="2">
        <f t="shared" si="2"/>
        <v>-2259.89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 t="shared" si="9"/>
        <v>0</v>
      </c>
      <c r="E54" s="2"/>
      <c r="F54" s="19"/>
      <c r="G54" s="2"/>
      <c r="H54" s="2">
        <f>--232.71</f>
        <v>232.71</v>
      </c>
      <c r="I54" s="2"/>
      <c r="J54" s="19"/>
      <c r="K54" s="2"/>
      <c r="L54" s="2">
        <f t="shared" si="0"/>
        <v>-232.71</v>
      </c>
      <c r="M54" s="2"/>
      <c r="N54" s="19">
        <f t="shared" si="1"/>
        <v>-1</v>
      </c>
      <c r="O54" s="11"/>
      <c r="P54" s="2">
        <f t="shared" si="10"/>
        <v>0</v>
      </c>
      <c r="Q54" s="2"/>
      <c r="R54" s="19"/>
      <c r="S54" s="2"/>
      <c r="T54" s="2">
        <f>--1969.74</f>
        <v>1969.74</v>
      </c>
      <c r="U54" s="2"/>
      <c r="V54" s="19"/>
      <c r="W54" s="2"/>
      <c r="X54" s="2">
        <f t="shared" si="2"/>
        <v>-1969.74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 t="shared" si="9"/>
        <v>0</v>
      </c>
      <c r="E55" s="2"/>
      <c r="F55" s="19"/>
      <c r="G55" s="2"/>
      <c r="H55" s="2">
        <f>--119.9</f>
        <v>119.9</v>
      </c>
      <c r="I55" s="2"/>
      <c r="J55" s="19"/>
      <c r="K55" s="2"/>
      <c r="L55" s="2">
        <f t="shared" si="0"/>
        <v>-119.9</v>
      </c>
      <c r="M55" s="2"/>
      <c r="N55" s="19">
        <f t="shared" si="1"/>
        <v>-1</v>
      </c>
      <c r="O55" s="11"/>
      <c r="P55" s="2">
        <f t="shared" si="10"/>
        <v>0</v>
      </c>
      <c r="Q55" s="2"/>
      <c r="R55" s="19"/>
      <c r="S55" s="2"/>
      <c r="T55" s="2">
        <f>--609.4</f>
        <v>609.4</v>
      </c>
      <c r="U55" s="2"/>
      <c r="V55" s="19"/>
      <c r="W55" s="2"/>
      <c r="X55" s="2">
        <f t="shared" si="2"/>
        <v>-609.4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 t="shared" si="9"/>
        <v>0</v>
      </c>
      <c r="E56" s="2"/>
      <c r="F56" s="19"/>
      <c r="G56" s="2"/>
      <c r="H56" s="2">
        <f>-1677.68</f>
        <v>-1677.68</v>
      </c>
      <c r="I56" s="2"/>
      <c r="J56" s="19"/>
      <c r="K56" s="2"/>
      <c r="L56" s="2">
        <f t="shared" si="0"/>
        <v>1677.68</v>
      </c>
      <c r="M56" s="2"/>
      <c r="N56" s="19">
        <f t="shared" si="1"/>
        <v>-1</v>
      </c>
      <c r="O56" s="11"/>
      <c r="P56" s="2">
        <f t="shared" si="10"/>
        <v>0</v>
      </c>
      <c r="Q56" s="2"/>
      <c r="R56" s="19"/>
      <c r="S56" s="2"/>
      <c r="T56" s="2">
        <f>--53716.09</f>
        <v>53716.09</v>
      </c>
      <c r="U56" s="2"/>
      <c r="V56" s="19"/>
      <c r="W56" s="2"/>
      <c r="X56" s="2">
        <f t="shared" si="2"/>
        <v>-53716.09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 t="shared" si="9"/>
        <v>0</v>
      </c>
      <c r="E57" s="2"/>
      <c r="F57" s="19"/>
      <c r="G57" s="2"/>
      <c r="H57" s="2">
        <f>--12.7</f>
        <v>12.7</v>
      </c>
      <c r="I57" s="2"/>
      <c r="J57" s="19"/>
      <c r="K57" s="2"/>
      <c r="L57" s="2">
        <f t="shared" si="0"/>
        <v>-12.7</v>
      </c>
      <c r="M57" s="2"/>
      <c r="N57" s="19">
        <f t="shared" si="1"/>
        <v>-1</v>
      </c>
      <c r="O57" s="11"/>
      <c r="P57" s="2">
        <f t="shared" si="10"/>
        <v>0</v>
      </c>
      <c r="Q57" s="2"/>
      <c r="R57" s="19"/>
      <c r="S57" s="2"/>
      <c r="T57" s="2">
        <f>--140.6</f>
        <v>140.6</v>
      </c>
      <c r="U57" s="2"/>
      <c r="V57" s="19"/>
      <c r="W57" s="2"/>
      <c r="X57" s="2">
        <f t="shared" si="2"/>
        <v>-140.6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 t="shared" si="9"/>
        <v>0</v>
      </c>
      <c r="E58" s="2"/>
      <c r="F58" s="19"/>
      <c r="G58" s="2"/>
      <c r="H58" s="2">
        <f>--11</f>
        <v>11</v>
      </c>
      <c r="I58" s="2"/>
      <c r="J58" s="19"/>
      <c r="K58" s="2"/>
      <c r="L58" s="2">
        <f t="shared" si="0"/>
        <v>-11</v>
      </c>
      <c r="M58" s="2"/>
      <c r="N58" s="19">
        <f t="shared" si="1"/>
        <v>-1</v>
      </c>
      <c r="O58" s="11"/>
      <c r="P58" s="2">
        <f t="shared" si="10"/>
        <v>0</v>
      </c>
      <c r="Q58" s="2"/>
      <c r="R58" s="19"/>
      <c r="S58" s="2"/>
      <c r="T58" s="2">
        <f>--115.5</f>
        <v>115.5</v>
      </c>
      <c r="U58" s="2"/>
      <c r="V58" s="19"/>
      <c r="W58" s="2"/>
      <c r="X58" s="2">
        <f t="shared" si="2"/>
        <v>-115.5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 t="shared" si="9"/>
        <v>0</v>
      </c>
      <c r="E59" s="2"/>
      <c r="F59" s="19"/>
      <c r="G59" s="2"/>
      <c r="H59" s="2">
        <f t="shared" ref="H59:H60" si="12"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 t="shared" si="10"/>
        <v>0</v>
      </c>
      <c r="Q59" s="2"/>
      <c r="R59" s="19"/>
      <c r="S59" s="2"/>
      <c r="T59" s="2">
        <f>--110</f>
        <v>110</v>
      </c>
      <c r="U59" s="2"/>
      <c r="V59" s="19"/>
      <c r="W59" s="2"/>
      <c r="X59" s="2">
        <f t="shared" si="2"/>
        <v>-110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"4200", " - ", "TAXABLE RETURNS")</f>
        <v xml:space="preserve">          4200 - TAXABLE RETURNS</v>
      </c>
      <c r="C60" s="11"/>
      <c r="D60" s="2">
        <f>-25690.22</f>
        <v>-25690.22</v>
      </c>
      <c r="E60" s="2"/>
      <c r="F60" s="19"/>
      <c r="G60" s="2"/>
      <c r="H60" s="2">
        <f t="shared" si="12"/>
        <v>0</v>
      </c>
      <c r="I60" s="2"/>
      <c r="J60" s="19"/>
      <c r="K60" s="2"/>
      <c r="L60" s="2">
        <f t="shared" si="0"/>
        <v>-25690.22</v>
      </c>
      <c r="M60" s="2"/>
      <c r="N60" s="19">
        <f t="shared" si="1"/>
        <v>0</v>
      </c>
      <c r="O60" s="11"/>
      <c r="P60" s="2">
        <f>-113109.03</f>
        <v>-113109.03</v>
      </c>
      <c r="Q60" s="2"/>
      <c r="R60" s="19"/>
      <c r="S60" s="2"/>
      <c r="T60" s="2">
        <f>0</f>
        <v>0</v>
      </c>
      <c r="U60" s="2"/>
      <c r="V60" s="19"/>
      <c r="W60" s="2"/>
      <c r="X60" s="2">
        <f t="shared" si="2"/>
        <v>-113109.03</v>
      </c>
      <c r="Y60" s="2"/>
      <c r="Z60" s="19">
        <f t="shared" si="3"/>
        <v>0</v>
      </c>
    </row>
    <row r="61" spans="1:26" s="24" customFormat="1" hidden="1" outlineLevel="1" x14ac:dyDescent="0.3">
      <c r="A61" s="44"/>
      <c r="B61" s="11" t="str">
        <f>CONCATENATE("          ", "4201", " - ", "SALES RETURN TAXABLE-NEW TEXT")</f>
        <v xml:space="preserve">          4201 - SALES RETURN TAXABLE-NEW TEXT</v>
      </c>
      <c r="C61" s="11"/>
      <c r="D61" s="2">
        <f t="shared" ref="D61:D72" si="13">0</f>
        <v>0</v>
      </c>
      <c r="E61" s="2"/>
      <c r="F61" s="19"/>
      <c r="G61" s="2"/>
      <c r="H61" s="2">
        <f>-12741.9</f>
        <v>-12741.9</v>
      </c>
      <c r="I61" s="2"/>
      <c r="J61" s="19"/>
      <c r="K61" s="2"/>
      <c r="L61" s="2">
        <f t="shared" si="0"/>
        <v>12741.9</v>
      </c>
      <c r="M61" s="2"/>
      <c r="N61" s="19">
        <f t="shared" si="1"/>
        <v>-1</v>
      </c>
      <c r="O61" s="11"/>
      <c r="P61" s="2">
        <f t="shared" ref="P61:P72" si="14">0</f>
        <v>0</v>
      </c>
      <c r="Q61" s="2"/>
      <c r="R61" s="19"/>
      <c r="S61" s="2"/>
      <c r="T61" s="2">
        <f>-48517.74</f>
        <v>-48517.74</v>
      </c>
      <c r="U61" s="2"/>
      <c r="V61" s="19"/>
      <c r="W61" s="2"/>
      <c r="X61" s="2">
        <f t="shared" si="2"/>
        <v>48517.74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"4202", " - ", "SALES RETURN TAXABLE-USED TEXT")</f>
        <v xml:space="preserve">          4202 - SALES RETURN TAXABLE-USED TEXT</v>
      </c>
      <c r="C62" s="11"/>
      <c r="D62" s="2">
        <f t="shared" si="13"/>
        <v>0</v>
      </c>
      <c r="E62" s="2"/>
      <c r="F62" s="19"/>
      <c r="G62" s="2"/>
      <c r="H62" s="2">
        <f>-4670.3</f>
        <v>-4670.3</v>
      </c>
      <c r="I62" s="2"/>
      <c r="J62" s="19"/>
      <c r="K62" s="2"/>
      <c r="L62" s="2">
        <f t="shared" si="0"/>
        <v>4670.3</v>
      </c>
      <c r="M62" s="2"/>
      <c r="N62" s="19">
        <f t="shared" si="1"/>
        <v>-1</v>
      </c>
      <c r="O62" s="11"/>
      <c r="P62" s="2">
        <f t="shared" si="14"/>
        <v>0</v>
      </c>
      <c r="Q62" s="2"/>
      <c r="R62" s="19"/>
      <c r="S62" s="2"/>
      <c r="T62" s="2">
        <f>-18536.3</f>
        <v>-18536.3</v>
      </c>
      <c r="U62" s="2"/>
      <c r="V62" s="19"/>
      <c r="W62" s="2"/>
      <c r="X62" s="2">
        <f t="shared" si="2"/>
        <v>18536.3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"4204", " - ", "SALES RETURN TAXABLE-DIGITAL T")</f>
        <v xml:space="preserve">          4204 - SALES RETURN TAXABLE-DIGITAL T</v>
      </c>
      <c r="C63" s="11"/>
      <c r="D63" s="2">
        <f t="shared" si="13"/>
        <v>0</v>
      </c>
      <c r="E63" s="2"/>
      <c r="F63" s="19"/>
      <c r="G63" s="2"/>
      <c r="H63" s="2">
        <f t="shared" ref="H63:H64" si="15"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 t="shared" si="14"/>
        <v>0</v>
      </c>
      <c r="Q63" s="2"/>
      <c r="R63" s="19"/>
      <c r="S63" s="2"/>
      <c r="T63" s="2">
        <f>-1630.85</f>
        <v>-1630.85</v>
      </c>
      <c r="U63" s="2"/>
      <c r="V63" s="19"/>
      <c r="W63" s="2"/>
      <c r="X63" s="2">
        <f t="shared" si="2"/>
        <v>1630.85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"4226", " - ", "SALES RETURN TAXABLE-WRITING I")</f>
        <v xml:space="preserve">          4226 - SALES RETURN TAXABLE-WRITING I</v>
      </c>
      <c r="C64" s="11"/>
      <c r="D64" s="2">
        <f t="shared" si="13"/>
        <v>0</v>
      </c>
      <c r="E64" s="2"/>
      <c r="F64" s="19"/>
      <c r="G64" s="2"/>
      <c r="H64" s="2">
        <f t="shared" si="15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 t="shared" si="14"/>
        <v>0</v>
      </c>
      <c r="Q64" s="2"/>
      <c r="R64" s="19"/>
      <c r="S64" s="2"/>
      <c r="T64" s="2">
        <f>-34.23</f>
        <v>-34.229999999999997</v>
      </c>
      <c r="U64" s="2"/>
      <c r="V64" s="19"/>
      <c r="W64" s="2"/>
      <c r="X64" s="2">
        <f t="shared" si="2"/>
        <v>34.229999999999997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"4227", " - ", "SALES RETURN TAXABLE-SCHOOL SU")</f>
        <v xml:space="preserve">          4227 - SALES RETURN TAXABLE-SCHOOL SU</v>
      </c>
      <c r="C65" s="11"/>
      <c r="D65" s="2">
        <f t="shared" si="13"/>
        <v>0</v>
      </c>
      <c r="E65" s="2"/>
      <c r="F65" s="19"/>
      <c r="G65" s="2"/>
      <c r="H65" s="2">
        <f>-126.22</f>
        <v>-126.22</v>
      </c>
      <c r="I65" s="2"/>
      <c r="J65" s="19"/>
      <c r="K65" s="2"/>
      <c r="L65" s="2">
        <f t="shared" si="0"/>
        <v>126.22</v>
      </c>
      <c r="M65" s="2"/>
      <c r="N65" s="19">
        <f t="shared" si="1"/>
        <v>-1</v>
      </c>
      <c r="O65" s="11"/>
      <c r="P65" s="2">
        <f t="shared" si="14"/>
        <v>0</v>
      </c>
      <c r="Q65" s="2"/>
      <c r="R65" s="19"/>
      <c r="S65" s="2"/>
      <c r="T65" s="2">
        <f>-762.68</f>
        <v>-762.68</v>
      </c>
      <c r="U65" s="2"/>
      <c r="V65" s="19"/>
      <c r="W65" s="2"/>
      <c r="X65" s="2">
        <f t="shared" si="2"/>
        <v>762.68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"4228", " - ", "SALES RETURN TAXABLE-ART/TECH")</f>
        <v xml:space="preserve">          4228 - SALES RETURN TAXABLE-ART/TECH</v>
      </c>
      <c r="C66" s="11"/>
      <c r="D66" s="2">
        <f t="shared" si="13"/>
        <v>0</v>
      </c>
      <c r="E66" s="2"/>
      <c r="F66" s="19"/>
      <c r="G66" s="2"/>
      <c r="H66" s="2">
        <f>-12473.84</f>
        <v>-12473.84</v>
      </c>
      <c r="I66" s="2"/>
      <c r="J66" s="19"/>
      <c r="K66" s="2"/>
      <c r="L66" s="2">
        <f t="shared" si="0"/>
        <v>12473.84</v>
      </c>
      <c r="M66" s="2"/>
      <c r="N66" s="19">
        <f t="shared" si="1"/>
        <v>-1</v>
      </c>
      <c r="O66" s="11"/>
      <c r="P66" s="2">
        <f t="shared" si="14"/>
        <v>0</v>
      </c>
      <c r="Q66" s="2"/>
      <c r="R66" s="19"/>
      <c r="S66" s="2"/>
      <c r="T66" s="2">
        <f>-12728.53</f>
        <v>-12728.53</v>
      </c>
      <c r="U66" s="2"/>
      <c r="V66" s="19"/>
      <c r="W66" s="2"/>
      <c r="X66" s="2">
        <f t="shared" si="2"/>
        <v>12728.53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"4240", " - ", "SALES RETURN TAXABLE-LOGO CLOT")</f>
        <v xml:space="preserve">          4240 - SALES RETURN TAXABLE-LOGO CLOT</v>
      </c>
      <c r="C67" s="11"/>
      <c r="D67" s="2">
        <f t="shared" si="13"/>
        <v>0</v>
      </c>
      <c r="E67" s="2"/>
      <c r="F67" s="19"/>
      <c r="G67" s="2"/>
      <c r="H67" s="2">
        <f>-7168.03</f>
        <v>-7168.03</v>
      </c>
      <c r="I67" s="2"/>
      <c r="J67" s="19"/>
      <c r="K67" s="2"/>
      <c r="L67" s="2">
        <f t="shared" si="0"/>
        <v>7168.03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-27586.87</f>
        <v>-27586.87</v>
      </c>
      <c r="U67" s="2"/>
      <c r="V67" s="19"/>
      <c r="W67" s="2"/>
      <c r="X67" s="2">
        <f t="shared" si="2"/>
        <v>27586.87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"4241", " - ", "SALES RETURN TAXABLE-LOGO GIFT")</f>
        <v xml:space="preserve">          4241 - SALES RETURN TAXABLE-LOGO GIFT</v>
      </c>
      <c r="C68" s="11"/>
      <c r="D68" s="2">
        <f t="shared" si="13"/>
        <v>0</v>
      </c>
      <c r="E68" s="2"/>
      <c r="F68" s="19"/>
      <c r="G68" s="2"/>
      <c r="H68" s="2">
        <f>-1397.46</f>
        <v>-1397.46</v>
      </c>
      <c r="I68" s="2"/>
      <c r="J68" s="19"/>
      <c r="K68" s="2"/>
      <c r="L68" s="2">
        <f t="shared" si="0"/>
        <v>1397.46</v>
      </c>
      <c r="M68" s="2"/>
      <c r="N68" s="19">
        <f t="shared" si="1"/>
        <v>-1</v>
      </c>
      <c r="O68" s="11"/>
      <c r="P68" s="2">
        <f t="shared" si="14"/>
        <v>0</v>
      </c>
      <c r="Q68" s="2"/>
      <c r="R68" s="19"/>
      <c r="S68" s="2"/>
      <c r="T68" s="2">
        <f>-4957.47</f>
        <v>-4957.47</v>
      </c>
      <c r="U68" s="2"/>
      <c r="V68" s="19"/>
      <c r="W68" s="2"/>
      <c r="X68" s="2">
        <f t="shared" si="2"/>
        <v>4957.47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"4242", " - ", "SALES RETURN TAXABLE-EVERYDAY")</f>
        <v xml:space="preserve">          4242 - SALES RETURN TAXABLE-EVERYDAY</v>
      </c>
      <c r="C69" s="11"/>
      <c r="D69" s="2">
        <f t="shared" si="13"/>
        <v>0</v>
      </c>
      <c r="E69" s="2"/>
      <c r="F69" s="19"/>
      <c r="G69" s="2"/>
      <c r="H69" s="2">
        <f>-76.86</f>
        <v>-76.86</v>
      </c>
      <c r="I69" s="2"/>
      <c r="J69" s="19"/>
      <c r="K69" s="2"/>
      <c r="L69" s="2">
        <f t="shared" si="0"/>
        <v>76.86</v>
      </c>
      <c r="M69" s="2"/>
      <c r="N69" s="19">
        <f t="shared" si="1"/>
        <v>-1</v>
      </c>
      <c r="O69" s="11"/>
      <c r="P69" s="2">
        <f t="shared" si="14"/>
        <v>0</v>
      </c>
      <c r="Q69" s="2"/>
      <c r="R69" s="19"/>
      <c r="S69" s="2"/>
      <c r="T69" s="2">
        <f>-1693.78</f>
        <v>-1693.78</v>
      </c>
      <c r="U69" s="2"/>
      <c r="V69" s="19"/>
      <c r="W69" s="2"/>
      <c r="X69" s="2">
        <f t="shared" si="2"/>
        <v>1693.78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"4243", " - ", "SALES RETURN TAXABLE-CARDS")</f>
        <v xml:space="preserve">          4243 - SALES RETURN TAXABLE-CARDS</v>
      </c>
      <c r="C70" s="11"/>
      <c r="D70" s="2">
        <f t="shared" si="13"/>
        <v>0</v>
      </c>
      <c r="E70" s="2"/>
      <c r="F70" s="19"/>
      <c r="G70" s="2"/>
      <c r="H70" s="2">
        <f>-1422.25</f>
        <v>-1422.25</v>
      </c>
      <c r="I70" s="2"/>
      <c r="J70" s="19"/>
      <c r="K70" s="2"/>
      <c r="L70" s="2">
        <f t="shared" si="0"/>
        <v>1422.25</v>
      </c>
      <c r="M70" s="2"/>
      <c r="N70" s="19">
        <f t="shared" si="1"/>
        <v>-1</v>
      </c>
      <c r="O70" s="11"/>
      <c r="P70" s="2">
        <f t="shared" si="14"/>
        <v>0</v>
      </c>
      <c r="Q70" s="2"/>
      <c r="R70" s="19"/>
      <c r="S70" s="2"/>
      <c r="T70" s="2">
        <f>-4999.79</f>
        <v>-4999.79</v>
      </c>
      <c r="U70" s="2"/>
      <c r="V70" s="19"/>
      <c r="W70" s="2"/>
      <c r="X70" s="2">
        <f t="shared" si="2"/>
        <v>4999.79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"4244", " - ", "SALES RETURN TAXABLE-ACCESSORI")</f>
        <v xml:space="preserve">          4244 - SALES RETURN TAXABLE-ACCESSORI</v>
      </c>
      <c r="C71" s="11"/>
      <c r="D71" s="2">
        <f t="shared" si="13"/>
        <v>0</v>
      </c>
      <c r="E71" s="2"/>
      <c r="F71" s="19"/>
      <c r="G71" s="2"/>
      <c r="H71" s="2">
        <f>-93.98</f>
        <v>-93.98</v>
      </c>
      <c r="I71" s="2"/>
      <c r="J71" s="19"/>
      <c r="K71" s="2"/>
      <c r="L71" s="2">
        <f t="shared" si="0"/>
        <v>93.98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-984.85</f>
        <v>-984.85</v>
      </c>
      <c r="U71" s="2"/>
      <c r="V71" s="19"/>
      <c r="W71" s="2"/>
      <c r="X71" s="2">
        <f t="shared" si="2"/>
        <v>984.85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"4245", " - ", "SALES RETURN TAXABLE-SPECIAL O")</f>
        <v xml:space="preserve">          4245 - SALES RETURN TAXABLE-SPECIAL O</v>
      </c>
      <c r="C72" s="11"/>
      <c r="D72" s="2">
        <f t="shared" si="13"/>
        <v>0</v>
      </c>
      <c r="E72" s="2"/>
      <c r="F72" s="19"/>
      <c r="G72" s="2"/>
      <c r="H72" s="2">
        <f t="shared" ref="H72:H73" si="16"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 t="shared" si="14"/>
        <v>0</v>
      </c>
      <c r="Q72" s="2"/>
      <c r="R72" s="19"/>
      <c r="S72" s="2"/>
      <c r="T72" s="2">
        <f>-11345.61</f>
        <v>-11345.61</v>
      </c>
      <c r="U72" s="2"/>
      <c r="V72" s="19"/>
      <c r="W72" s="2"/>
      <c r="X72" s="2">
        <f t="shared" si="2"/>
        <v>11345.61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"4300", " - ", "NON-TAX RETURNS")</f>
        <v xml:space="preserve">          4300 - NON-TAX RETURNS</v>
      </c>
      <c r="C73" s="11"/>
      <c r="D73" s="2">
        <f>-874.74</f>
        <v>-874.74</v>
      </c>
      <c r="E73" s="2"/>
      <c r="F73" s="19"/>
      <c r="G73" s="2"/>
      <c r="H73" s="2">
        <f t="shared" si="16"/>
        <v>0</v>
      </c>
      <c r="I73" s="2"/>
      <c r="J73" s="19"/>
      <c r="K73" s="2"/>
      <c r="L73" s="2">
        <f t="shared" si="0"/>
        <v>-874.74</v>
      </c>
      <c r="M73" s="2"/>
      <c r="N73" s="19">
        <f t="shared" si="1"/>
        <v>0</v>
      </c>
      <c r="O73" s="11"/>
      <c r="P73" s="2">
        <f>-28054.08</f>
        <v>-28054.080000000002</v>
      </c>
      <c r="Q73" s="2"/>
      <c r="R73" s="19"/>
      <c r="S73" s="2"/>
      <c r="T73" s="2">
        <f>0</f>
        <v>0</v>
      </c>
      <c r="U73" s="2"/>
      <c r="V73" s="19"/>
      <c r="W73" s="2"/>
      <c r="X73" s="2">
        <f t="shared" si="2"/>
        <v>-28054.080000000002</v>
      </c>
      <c r="Y73" s="2"/>
      <c r="Z73" s="19">
        <f t="shared" si="3"/>
        <v>0</v>
      </c>
    </row>
    <row r="74" spans="1:26" s="24" customFormat="1" hidden="1" outlineLevel="1" x14ac:dyDescent="0.3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 t="shared" ref="D74:D79" si="17">0</f>
        <v>0</v>
      </c>
      <c r="E74" s="2"/>
      <c r="F74" s="19"/>
      <c r="G74" s="2"/>
      <c r="H74" s="2">
        <f>-256.69</f>
        <v>-256.69</v>
      </c>
      <c r="I74" s="2"/>
      <c r="J74" s="19"/>
      <c r="K74" s="2"/>
      <c r="L74" s="2">
        <f t="shared" si="0"/>
        <v>256.69</v>
      </c>
      <c r="M74" s="2"/>
      <c r="N74" s="19">
        <f t="shared" si="1"/>
        <v>-1</v>
      </c>
      <c r="O74" s="11"/>
      <c r="P74" s="2">
        <f t="shared" ref="P74:P79" si="18">0</f>
        <v>0</v>
      </c>
      <c r="Q74" s="2"/>
      <c r="R74" s="19"/>
      <c r="S74" s="2"/>
      <c r="T74" s="2">
        <f>-3005.79</f>
        <v>-3005.79</v>
      </c>
      <c r="U74" s="2"/>
      <c r="V74" s="19"/>
      <c r="W74" s="2"/>
      <c r="X74" s="2">
        <f t="shared" si="2"/>
        <v>3005.79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 t="shared" si="17"/>
        <v>0</v>
      </c>
      <c r="E75" s="2"/>
      <c r="F75" s="19"/>
      <c r="G75" s="2"/>
      <c r="H75" s="2">
        <f>-532.96</f>
        <v>-532.96</v>
      </c>
      <c r="I75" s="2"/>
      <c r="J75" s="19"/>
      <c r="K75" s="2"/>
      <c r="L75" s="2">
        <f t="shared" si="0"/>
        <v>532.96</v>
      </c>
      <c r="M75" s="2"/>
      <c r="N75" s="19">
        <f t="shared" si="1"/>
        <v>-1</v>
      </c>
      <c r="O75" s="11"/>
      <c r="P75" s="2">
        <f t="shared" si="18"/>
        <v>0</v>
      </c>
      <c r="Q75" s="2"/>
      <c r="R75" s="19"/>
      <c r="S75" s="2"/>
      <c r="T75" s="2">
        <f>-2003.16</f>
        <v>-2003.16</v>
      </c>
      <c r="U75" s="2"/>
      <c r="V75" s="19"/>
      <c r="W75" s="2"/>
      <c r="X75" s="2">
        <f t="shared" si="2"/>
        <v>2003.16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 t="shared" si="17"/>
        <v>0</v>
      </c>
      <c r="E76" s="2"/>
      <c r="F76" s="19"/>
      <c r="G76" s="2"/>
      <c r="H76" s="2">
        <f>-10673</f>
        <v>-10673</v>
      </c>
      <c r="I76" s="2"/>
      <c r="J76" s="19"/>
      <c r="K76" s="2"/>
      <c r="L76" s="2">
        <f t="shared" si="0"/>
        <v>10673</v>
      </c>
      <c r="M76" s="2"/>
      <c r="N76" s="19">
        <f t="shared" si="1"/>
        <v>-1</v>
      </c>
      <c r="O76" s="11"/>
      <c r="P76" s="2">
        <f t="shared" si="18"/>
        <v>0</v>
      </c>
      <c r="Q76" s="2"/>
      <c r="R76" s="19"/>
      <c r="S76" s="2"/>
      <c r="T76" s="2">
        <f>-25095.77</f>
        <v>-25095.77</v>
      </c>
      <c r="U76" s="2"/>
      <c r="V76" s="19"/>
      <c r="W76" s="2"/>
      <c r="X76" s="2">
        <f t="shared" si="2"/>
        <v>25095.77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"4340", " - ", "SALES RETURN NON TAXABLE-LOGO")</f>
        <v xml:space="preserve">          4340 - SALES RETURN NON TAXABLE-LOGO</v>
      </c>
      <c r="C77" s="11"/>
      <c r="D77" s="2">
        <f t="shared" si="17"/>
        <v>0</v>
      </c>
      <c r="E77" s="2"/>
      <c r="F77" s="19"/>
      <c r="G77" s="2"/>
      <c r="H77" s="2">
        <f>-732.22</f>
        <v>-732.22</v>
      </c>
      <c r="I77" s="2"/>
      <c r="J77" s="19"/>
      <c r="K77" s="2"/>
      <c r="L77" s="2">
        <f t="shared" si="0"/>
        <v>732.22</v>
      </c>
      <c r="M77" s="2"/>
      <c r="N77" s="19">
        <f t="shared" si="1"/>
        <v>-1</v>
      </c>
      <c r="O77" s="11"/>
      <c r="P77" s="2">
        <f t="shared" si="18"/>
        <v>0</v>
      </c>
      <c r="Q77" s="2"/>
      <c r="R77" s="19"/>
      <c r="S77" s="2"/>
      <c r="T77" s="2">
        <f>-2215.94</f>
        <v>-2215.94</v>
      </c>
      <c r="U77" s="2"/>
      <c r="V77" s="19"/>
      <c r="W77" s="2"/>
      <c r="X77" s="2">
        <f t="shared" si="2"/>
        <v>2215.94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"4341", " - ", "SALES RETURN NON TAXABLE-LOGO")</f>
        <v xml:space="preserve">          4341 - SALES RETURN NON TAXABLE-LOGO</v>
      </c>
      <c r="C78" s="11"/>
      <c r="D78" s="2">
        <f t="shared" si="17"/>
        <v>0</v>
      </c>
      <c r="E78" s="2"/>
      <c r="F78" s="19"/>
      <c r="G78" s="2"/>
      <c r="H78" s="2">
        <f>-27</f>
        <v>-27</v>
      </c>
      <c r="I78" s="2"/>
      <c r="J78" s="19"/>
      <c r="K78" s="2"/>
      <c r="L78" s="2">
        <f t="shared" si="0"/>
        <v>27</v>
      </c>
      <c r="M78" s="2"/>
      <c r="N78" s="19">
        <f t="shared" si="1"/>
        <v>-1</v>
      </c>
      <c r="O78" s="11"/>
      <c r="P78" s="2">
        <f t="shared" si="18"/>
        <v>0</v>
      </c>
      <c r="Q78" s="2"/>
      <c r="R78" s="19"/>
      <c r="S78" s="2"/>
      <c r="T78" s="2">
        <f>-362.64</f>
        <v>-362.64</v>
      </c>
      <c r="U78" s="2"/>
      <c r="V78" s="19"/>
      <c r="W78" s="2"/>
      <c r="X78" s="2">
        <f t="shared" si="2"/>
        <v>362.64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"4342", " - ", "SALES RETURN NON TAXABLE-EVERY")</f>
        <v xml:space="preserve">          4342 - SALES RETURN NON TAXABLE-EVERY</v>
      </c>
      <c r="C79" s="11"/>
      <c r="D79" s="2">
        <f t="shared" si="17"/>
        <v>0</v>
      </c>
      <c r="E79" s="2"/>
      <c r="F79" s="19"/>
      <c r="G79" s="2"/>
      <c r="H79" s="2">
        <f t="shared" ref="H79:H80" si="19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si="18"/>
        <v>0</v>
      </c>
      <c r="Q79" s="2"/>
      <c r="R79" s="19"/>
      <c r="S79" s="2"/>
      <c r="T79" s="2">
        <f>-118.7</f>
        <v>-118.7</v>
      </c>
      <c r="U79" s="2"/>
      <c r="V79" s="19"/>
      <c r="W79" s="2"/>
      <c r="X79" s="2">
        <f t="shared" si="2"/>
        <v>118.7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"4500", " - ", "SALES DISCOUNT")</f>
        <v xml:space="preserve">          4500 - SALES DISCOUNT</v>
      </c>
      <c r="C80" s="11"/>
      <c r="D80" s="2">
        <f>-6387.84</f>
        <v>-6387.84</v>
      </c>
      <c r="E80" s="2"/>
      <c r="F80" s="19"/>
      <c r="G80" s="2"/>
      <c r="H80" s="2">
        <f t="shared" si="19"/>
        <v>0</v>
      </c>
      <c r="I80" s="2"/>
      <c r="J80" s="19"/>
      <c r="K80" s="2"/>
      <c r="L80" s="2">
        <f t="shared" si="0"/>
        <v>-6387.84</v>
      </c>
      <c r="M80" s="2"/>
      <c r="N80" s="19">
        <f t="shared" si="1"/>
        <v>0</v>
      </c>
      <c r="O80" s="11"/>
      <c r="P80" s="2">
        <f>-70393.95</f>
        <v>-70393.95</v>
      </c>
      <c r="Q80" s="2"/>
      <c r="R80" s="19"/>
      <c r="S80" s="2"/>
      <c r="T80" s="2">
        <f>0</f>
        <v>0</v>
      </c>
      <c r="U80" s="2"/>
      <c r="V80" s="19"/>
      <c r="W80" s="2"/>
      <c r="X80" s="2">
        <f t="shared" si="2"/>
        <v>-70393.95</v>
      </c>
      <c r="Y80" s="2"/>
      <c r="Z80" s="19">
        <f t="shared" si="3"/>
        <v>0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collapsed="1" x14ac:dyDescent="0.3">
      <c r="A82" s="10"/>
      <c r="B82" s="26" t="s">
        <v>256</v>
      </c>
      <c r="C82" s="10"/>
      <c r="D82" s="4">
        <f>SUM(OSRRefD16x_0)</f>
        <v>457442.16</v>
      </c>
      <c r="E82" s="4"/>
      <c r="F82" s="12">
        <f t="shared" ref="F82:F124" si="20">IF(D$12=0,0,D82/D$12)</f>
        <v>0.60159072809770109</v>
      </c>
      <c r="G82" s="4"/>
      <c r="H82" s="4">
        <f>SUM(OSRRefH16x_0)</f>
        <v>771335.59000000008</v>
      </c>
      <c r="I82" s="4"/>
      <c r="J82" s="12">
        <f t="shared" ref="J82:J124" si="21">IF(H$12=0,0,H82/H$12)</f>
        <v>0.65432648696340723</v>
      </c>
      <c r="K82" s="4"/>
      <c r="L82" s="4">
        <f t="shared" ref="L82:L124" si="22">+D82-H82</f>
        <v>-313893.43000000011</v>
      </c>
      <c r="M82" s="4"/>
      <c r="N82" s="12">
        <f t="shared" ref="N82:N124" si="23">IF(H82=0,0,L82/H82)</f>
        <v>-0.40694794077892876</v>
      </c>
      <c r="O82" s="10"/>
      <c r="P82" s="4">
        <f>SUM(OSRRefP16x_0)</f>
        <v>2715821.7999999993</v>
      </c>
      <c r="Q82" s="4"/>
      <c r="R82" s="12">
        <f t="shared" ref="R82:R124" si="24">IF(P$12=0,0,P82/P$12)</f>
        <v>0.60379429936050033</v>
      </c>
      <c r="S82" s="4"/>
      <c r="T82" s="4">
        <f>SUM(OSRRefT16x_0)</f>
        <v>2515091.7300000004</v>
      </c>
      <c r="U82" s="4"/>
      <c r="V82" s="12">
        <f t="shared" ref="V82:V124" si="25">IF(T$12=0,0,T82/T$12)</f>
        <v>0.64821536478505981</v>
      </c>
      <c r="W82" s="4"/>
      <c r="X82" s="4">
        <f t="shared" ref="X82:X124" si="26">+P82-T82</f>
        <v>200730.0699999989</v>
      </c>
      <c r="Y82" s="4"/>
      <c r="Z82" s="12">
        <f t="shared" ref="Z82:Z124" si="27">IF(T82=0,0,X82/T82)</f>
        <v>7.9810238173698284E-2</v>
      </c>
    </row>
    <row r="83" spans="1:26" s="24" customFormat="1" hidden="1" outlineLevel="1" x14ac:dyDescent="0.3">
      <c r="A83" s="44"/>
      <c r="B83" s="11" t="str">
        <f>CONCATENATE("          ", "5000", " - ", "PURCHASES @ COST")</f>
        <v xml:space="preserve">          5000 - PURCHASES @ COST</v>
      </c>
      <c r="C83" s="11"/>
      <c r="D83" s="2">
        <v>488333.93</v>
      </c>
      <c r="E83" s="2"/>
      <c r="F83" s="19">
        <f t="shared" si="20"/>
        <v>0.64221707177911147</v>
      </c>
      <c r="G83" s="2"/>
      <c r="H83" s="2">
        <v>0</v>
      </c>
      <c r="I83" s="2"/>
      <c r="J83" s="19">
        <f t="shared" si="21"/>
        <v>0</v>
      </c>
      <c r="K83" s="2"/>
      <c r="L83" s="2">
        <f t="shared" si="22"/>
        <v>488333.93</v>
      </c>
      <c r="M83" s="2"/>
      <c r="N83" s="19">
        <f t="shared" si="23"/>
        <v>0</v>
      </c>
      <c r="O83" s="11"/>
      <c r="P83" s="2">
        <v>3020258.34</v>
      </c>
      <c r="Q83" s="2"/>
      <c r="R83" s="19">
        <f t="shared" si="24"/>
        <v>0.67147806541946453</v>
      </c>
      <c r="S83" s="2"/>
      <c r="T83" s="2">
        <v>0</v>
      </c>
      <c r="U83" s="2"/>
      <c r="V83" s="19">
        <f t="shared" si="25"/>
        <v>0</v>
      </c>
      <c r="W83" s="2"/>
      <c r="X83" s="2">
        <f t="shared" si="26"/>
        <v>3020258.34</v>
      </c>
      <c r="Y83" s="2"/>
      <c r="Z83" s="19">
        <f t="shared" si="27"/>
        <v>0</v>
      </c>
    </row>
    <row r="84" spans="1:26" s="24" customFormat="1" hidden="1" outlineLevel="1" x14ac:dyDescent="0.3">
      <c r="A84" s="44"/>
      <c r="B84" s="11" t="str">
        <f>CONCATENATE("          ", "5001", " - ", "PURCHASES @ COST-NEW TEXT")</f>
        <v xml:space="preserve">          5001 - PURCHASES @ COST-NEW TEXT</v>
      </c>
      <c r="C84" s="11"/>
      <c r="D84" s="2"/>
      <c r="E84" s="2"/>
      <c r="F84" s="19">
        <f t="shared" si="20"/>
        <v>0</v>
      </c>
      <c r="G84" s="2"/>
      <c r="H84" s="2">
        <v>381096.17</v>
      </c>
      <c r="I84" s="2"/>
      <c r="J84" s="19">
        <f t="shared" si="21"/>
        <v>0.32328511914160396</v>
      </c>
      <c r="K84" s="2"/>
      <c r="L84" s="2">
        <f t="shared" si="22"/>
        <v>-381096.17</v>
      </c>
      <c r="M84" s="2"/>
      <c r="N84" s="19">
        <f t="shared" si="23"/>
        <v>-1</v>
      </c>
      <c r="O84" s="11"/>
      <c r="P84" s="2">
        <v>0</v>
      </c>
      <c r="Q84" s="2"/>
      <c r="R84" s="19">
        <f t="shared" si="24"/>
        <v>0</v>
      </c>
      <c r="S84" s="2"/>
      <c r="T84" s="2">
        <v>1659009.21</v>
      </c>
      <c r="U84" s="2"/>
      <c r="V84" s="19">
        <f t="shared" si="25"/>
        <v>0.42757695372085841</v>
      </c>
      <c r="W84" s="2"/>
      <c r="X84" s="2">
        <f t="shared" si="26"/>
        <v>-1659009.21</v>
      </c>
      <c r="Y84" s="2"/>
      <c r="Z84" s="19">
        <f t="shared" si="27"/>
        <v>-1</v>
      </c>
    </row>
    <row r="85" spans="1:26" s="24" customFormat="1" hidden="1" outlineLevel="1" x14ac:dyDescent="0.3">
      <c r="A85" s="44"/>
      <c r="B85" s="11" t="str">
        <f>CONCATENATE("          ", "5002", " - ", "PURCHASES @ COST-USED TEXT")</f>
        <v xml:space="preserve">          5002 - PURCHASES @ COST-USED TEXT</v>
      </c>
      <c r="C85" s="11"/>
      <c r="D85" s="2"/>
      <c r="E85" s="2"/>
      <c r="F85" s="19">
        <f t="shared" si="20"/>
        <v>0</v>
      </c>
      <c r="G85" s="2"/>
      <c r="H85" s="2">
        <v>95863.360000000001</v>
      </c>
      <c r="I85" s="2"/>
      <c r="J85" s="19">
        <f t="shared" si="21"/>
        <v>8.1321199735264915E-2</v>
      </c>
      <c r="K85" s="2"/>
      <c r="L85" s="2">
        <f t="shared" si="22"/>
        <v>-95863.360000000001</v>
      </c>
      <c r="M85" s="2"/>
      <c r="N85" s="19">
        <f t="shared" si="23"/>
        <v>-1</v>
      </c>
      <c r="O85" s="11"/>
      <c r="P85" s="2">
        <v>0</v>
      </c>
      <c r="Q85" s="2"/>
      <c r="R85" s="19">
        <f t="shared" si="24"/>
        <v>0</v>
      </c>
      <c r="S85" s="2"/>
      <c r="T85" s="2">
        <v>260336.28</v>
      </c>
      <c r="U85" s="2"/>
      <c r="V85" s="19">
        <f t="shared" si="25"/>
        <v>6.7096549479324738E-2</v>
      </c>
      <c r="W85" s="2"/>
      <c r="X85" s="2">
        <f t="shared" si="26"/>
        <v>-260336.28</v>
      </c>
      <c r="Y85" s="2"/>
      <c r="Z85" s="19">
        <f t="shared" si="27"/>
        <v>-1</v>
      </c>
    </row>
    <row r="86" spans="1:26" s="24" customFormat="1" hidden="1" outlineLevel="1" x14ac:dyDescent="0.3">
      <c r="A86" s="44"/>
      <c r="B86" s="11" t="str">
        <f>CONCATENATE("          ", "5003", " - ", "PURCHASES @ COST-RENTAL TEXT")</f>
        <v xml:space="preserve">          5003 - PURCHASES @ COST-RENTAL TEXT</v>
      </c>
      <c r="C86" s="11"/>
      <c r="D86" s="2"/>
      <c r="E86" s="2"/>
      <c r="F86" s="19">
        <f t="shared" si="20"/>
        <v>0</v>
      </c>
      <c r="G86" s="2"/>
      <c r="H86" s="2"/>
      <c r="I86" s="2"/>
      <c r="J86" s="19">
        <f t="shared" si="21"/>
        <v>0</v>
      </c>
      <c r="K86" s="2"/>
      <c r="L86" s="2">
        <f t="shared" si="22"/>
        <v>0</v>
      </c>
      <c r="M86" s="2"/>
      <c r="N86" s="19">
        <f t="shared" si="23"/>
        <v>0</v>
      </c>
      <c r="O86" s="11"/>
      <c r="P86" s="2"/>
      <c r="Q86" s="2"/>
      <c r="R86" s="19">
        <f t="shared" si="24"/>
        <v>0</v>
      </c>
      <c r="S86" s="2"/>
      <c r="T86" s="2">
        <v>32.520000000000003</v>
      </c>
      <c r="U86" s="2"/>
      <c r="V86" s="19">
        <f t="shared" si="25"/>
        <v>8.3813895975913944E-6</v>
      </c>
      <c r="W86" s="2"/>
      <c r="X86" s="2">
        <f t="shared" si="26"/>
        <v>-32.520000000000003</v>
      </c>
      <c r="Y86" s="2"/>
      <c r="Z86" s="19">
        <f t="shared" si="27"/>
        <v>-1</v>
      </c>
    </row>
    <row r="87" spans="1:26" s="24" customFormat="1" hidden="1" outlineLevel="1" x14ac:dyDescent="0.3">
      <c r="A87" s="44"/>
      <c r="B87" s="11" t="str">
        <f>CONCATENATE("          ", "5004", " - ", "PURCHASES @ COST-DIGITAL TEXT")</f>
        <v xml:space="preserve">          5004 - PURCHASES @ COST-DIGITAL TEXT</v>
      </c>
      <c r="C87" s="11"/>
      <c r="D87" s="2"/>
      <c r="E87" s="2"/>
      <c r="F87" s="19">
        <f t="shared" si="20"/>
        <v>0</v>
      </c>
      <c r="G87" s="2"/>
      <c r="H87" s="2">
        <v>18888.45</v>
      </c>
      <c r="I87" s="2"/>
      <c r="J87" s="19">
        <f t="shared" si="21"/>
        <v>1.6023133501053631E-2</v>
      </c>
      <c r="K87" s="2"/>
      <c r="L87" s="2">
        <f t="shared" si="22"/>
        <v>-18888.45</v>
      </c>
      <c r="M87" s="2"/>
      <c r="N87" s="19">
        <f t="shared" si="23"/>
        <v>-1</v>
      </c>
      <c r="O87" s="11"/>
      <c r="P87" s="2">
        <v>0</v>
      </c>
      <c r="Q87" s="2"/>
      <c r="R87" s="19">
        <f t="shared" si="24"/>
        <v>0</v>
      </c>
      <c r="S87" s="2"/>
      <c r="T87" s="2">
        <v>216726.56</v>
      </c>
      <c r="U87" s="2"/>
      <c r="V87" s="19">
        <f t="shared" si="25"/>
        <v>5.5857002936831705E-2</v>
      </c>
      <c r="W87" s="2"/>
      <c r="X87" s="2">
        <f t="shared" si="26"/>
        <v>-216726.56</v>
      </c>
      <c r="Y87" s="2"/>
      <c r="Z87" s="19">
        <f t="shared" si="27"/>
        <v>-1</v>
      </c>
    </row>
    <row r="88" spans="1:26" s="24" customFormat="1" hidden="1" outlineLevel="1" x14ac:dyDescent="0.3">
      <c r="A88" s="44"/>
      <c r="B88" s="11" t="str">
        <f>CONCATENATE("          ", "5011", " - ", "PURCHASES @ COST-NO VALUE TEXT")</f>
        <v xml:space="preserve">          5011 - PURCHASES @ COST-NO VALUE TEXT</v>
      </c>
      <c r="C88" s="11"/>
      <c r="D88" s="2"/>
      <c r="E88" s="2"/>
      <c r="F88" s="19">
        <f t="shared" si="20"/>
        <v>0</v>
      </c>
      <c r="G88" s="2"/>
      <c r="H88" s="2"/>
      <c r="I88" s="2"/>
      <c r="J88" s="19">
        <f t="shared" si="21"/>
        <v>0</v>
      </c>
      <c r="K88" s="2"/>
      <c r="L88" s="2">
        <f t="shared" si="22"/>
        <v>0</v>
      </c>
      <c r="M88" s="2"/>
      <c r="N88" s="19">
        <f t="shared" si="23"/>
        <v>0</v>
      </c>
      <c r="O88" s="11"/>
      <c r="P88" s="2"/>
      <c r="Q88" s="2"/>
      <c r="R88" s="19">
        <f t="shared" si="24"/>
        <v>0</v>
      </c>
      <c r="S88" s="2"/>
      <c r="T88" s="2">
        <v>67.17</v>
      </c>
      <c r="U88" s="2"/>
      <c r="V88" s="19">
        <f t="shared" si="25"/>
        <v>1.7311744750006579E-5</v>
      </c>
      <c r="W88" s="2"/>
      <c r="X88" s="2">
        <f t="shared" si="26"/>
        <v>-67.17</v>
      </c>
      <c r="Y88" s="2"/>
      <c r="Z88" s="19">
        <f t="shared" si="27"/>
        <v>-1</v>
      </c>
    </row>
    <row r="89" spans="1:26" s="24" customFormat="1" hidden="1" outlineLevel="1" x14ac:dyDescent="0.3">
      <c r="A89" s="44"/>
      <c r="B89" s="11" t="str">
        <f>CONCATENATE("          ", "5013", " - ", "PURCHASES @ COST-TRADE BOOKS")</f>
        <v xml:space="preserve">          5013 - PURCHASES @ COST-TRADE BOOKS</v>
      </c>
      <c r="C89" s="11"/>
      <c r="D89" s="2"/>
      <c r="E89" s="2"/>
      <c r="F89" s="19">
        <f t="shared" si="20"/>
        <v>0</v>
      </c>
      <c r="G89" s="2"/>
      <c r="H89" s="2">
        <v>3531.13</v>
      </c>
      <c r="I89" s="2"/>
      <c r="J89" s="19">
        <f t="shared" si="21"/>
        <v>2.9954690511701867E-3</v>
      </c>
      <c r="K89" s="2"/>
      <c r="L89" s="2">
        <f t="shared" si="22"/>
        <v>-3531.13</v>
      </c>
      <c r="M89" s="2"/>
      <c r="N89" s="19">
        <f t="shared" si="23"/>
        <v>-1</v>
      </c>
      <c r="O89" s="11"/>
      <c r="P89" s="2"/>
      <c r="Q89" s="2"/>
      <c r="R89" s="19">
        <f t="shared" si="24"/>
        <v>0</v>
      </c>
      <c r="S89" s="2"/>
      <c r="T89" s="2">
        <v>5656.98</v>
      </c>
      <c r="U89" s="2"/>
      <c r="V89" s="19">
        <f t="shared" si="25"/>
        <v>1.4579751945197588E-3</v>
      </c>
      <c r="W89" s="2"/>
      <c r="X89" s="2">
        <f t="shared" si="26"/>
        <v>-5656.98</v>
      </c>
      <c r="Y89" s="2"/>
      <c r="Z89" s="19">
        <f t="shared" si="27"/>
        <v>-1</v>
      </c>
    </row>
    <row r="90" spans="1:26" s="24" customFormat="1" hidden="1" outlineLevel="1" x14ac:dyDescent="0.3">
      <c r="A90" s="44"/>
      <c r="B90" s="11" t="str">
        <f>CONCATENATE("          ", "5014", " - ", "PURCHASES @ COST-REMAINDERS")</f>
        <v xml:space="preserve">          5014 - PURCHASES @ COST-REMAINDERS</v>
      </c>
      <c r="C90" s="11"/>
      <c r="D90" s="2"/>
      <c r="E90" s="2"/>
      <c r="F90" s="19">
        <f t="shared" si="20"/>
        <v>0</v>
      </c>
      <c r="G90" s="2"/>
      <c r="H90" s="2"/>
      <c r="I90" s="2"/>
      <c r="J90" s="19">
        <f t="shared" si="21"/>
        <v>0</v>
      </c>
      <c r="K90" s="2"/>
      <c r="L90" s="2">
        <f t="shared" si="22"/>
        <v>0</v>
      </c>
      <c r="M90" s="2"/>
      <c r="N90" s="19">
        <f t="shared" si="23"/>
        <v>0</v>
      </c>
      <c r="O90" s="11"/>
      <c r="P90" s="2"/>
      <c r="Q90" s="2"/>
      <c r="R90" s="19">
        <f t="shared" si="24"/>
        <v>0</v>
      </c>
      <c r="S90" s="2"/>
      <c r="T90" s="2">
        <v>90.41</v>
      </c>
      <c r="U90" s="2"/>
      <c r="V90" s="19">
        <f t="shared" si="25"/>
        <v>2.3301397094656761E-5</v>
      </c>
      <c r="W90" s="2"/>
      <c r="X90" s="2">
        <f t="shared" si="26"/>
        <v>-90.41</v>
      </c>
      <c r="Y90" s="2"/>
      <c r="Z90" s="19">
        <f t="shared" si="27"/>
        <v>-1</v>
      </c>
    </row>
    <row r="91" spans="1:26" s="24" customFormat="1" hidden="1" outlineLevel="1" x14ac:dyDescent="0.3">
      <c r="A91" s="44"/>
      <c r="B91" s="11" t="str">
        <f>CONCATENATE("          ", "5018", " - ", "PURCHASES @ COST-STUDY GUIDES")</f>
        <v xml:space="preserve">          5018 - PURCHASES @ COST-STUDY GUIDES</v>
      </c>
      <c r="C91" s="11"/>
      <c r="D91" s="2"/>
      <c r="E91" s="2"/>
      <c r="F91" s="19">
        <f t="shared" si="20"/>
        <v>0</v>
      </c>
      <c r="G91" s="2"/>
      <c r="H91" s="2">
        <v>416</v>
      </c>
      <c r="I91" s="2"/>
      <c r="J91" s="19">
        <f t="shared" si="21"/>
        <v>3.5289415152849019E-4</v>
      </c>
      <c r="K91" s="2"/>
      <c r="L91" s="2">
        <f t="shared" si="22"/>
        <v>-416</v>
      </c>
      <c r="M91" s="2"/>
      <c r="N91" s="19">
        <f t="shared" si="23"/>
        <v>-1</v>
      </c>
      <c r="O91" s="11"/>
      <c r="P91" s="2"/>
      <c r="Q91" s="2"/>
      <c r="R91" s="19">
        <f t="shared" si="24"/>
        <v>0</v>
      </c>
      <c r="S91" s="2"/>
      <c r="T91" s="2">
        <v>522.34</v>
      </c>
      <c r="U91" s="2"/>
      <c r="V91" s="19">
        <f t="shared" si="25"/>
        <v>1.3462284878246891E-4</v>
      </c>
      <c r="W91" s="2"/>
      <c r="X91" s="2">
        <f t="shared" si="26"/>
        <v>-522.34</v>
      </c>
      <c r="Y91" s="2"/>
      <c r="Z91" s="19">
        <f t="shared" si="27"/>
        <v>-1</v>
      </c>
    </row>
    <row r="92" spans="1:26" s="24" customFormat="1" hidden="1" outlineLevel="1" x14ac:dyDescent="0.3">
      <c r="A92" s="44"/>
      <c r="B92" s="11" t="str">
        <f>CONCATENATE("          ", "5025", " - ", "PURCHASES @ COST-TEST FORMS")</f>
        <v xml:space="preserve">          5025 - PURCHASES @ COST-TEST FORMS</v>
      </c>
      <c r="C92" s="11"/>
      <c r="D92" s="2"/>
      <c r="E92" s="2"/>
      <c r="F92" s="19">
        <f t="shared" si="20"/>
        <v>0</v>
      </c>
      <c r="G92" s="2"/>
      <c r="H92" s="2"/>
      <c r="I92" s="2"/>
      <c r="J92" s="19">
        <f t="shared" si="21"/>
        <v>0</v>
      </c>
      <c r="K92" s="2"/>
      <c r="L92" s="2">
        <f t="shared" si="22"/>
        <v>0</v>
      </c>
      <c r="M92" s="2"/>
      <c r="N92" s="19">
        <f t="shared" si="23"/>
        <v>0</v>
      </c>
      <c r="O92" s="11"/>
      <c r="P92" s="2"/>
      <c r="Q92" s="2"/>
      <c r="R92" s="19">
        <f t="shared" si="24"/>
        <v>0</v>
      </c>
      <c r="S92" s="2"/>
      <c r="T92" s="2">
        <v>599.29</v>
      </c>
      <c r="U92" s="2"/>
      <c r="V92" s="19">
        <f t="shared" si="25"/>
        <v>1.544551959391312E-4</v>
      </c>
      <c r="W92" s="2"/>
      <c r="X92" s="2">
        <f t="shared" si="26"/>
        <v>-599.29</v>
      </c>
      <c r="Y92" s="2"/>
      <c r="Z92" s="19">
        <f t="shared" si="27"/>
        <v>-1</v>
      </c>
    </row>
    <row r="93" spans="1:26" s="24" customFormat="1" hidden="1" outlineLevel="1" x14ac:dyDescent="0.3">
      <c r="A93" s="44"/>
      <c r="B93" s="11" t="str">
        <f>CONCATENATE("          ", "5026", " - ", "PURCHASES @ COST-WRITING INSTR")</f>
        <v xml:space="preserve">          5026 - PURCHASES @ COST-WRITING INSTR</v>
      </c>
      <c r="C93" s="11"/>
      <c r="D93" s="2"/>
      <c r="E93" s="2"/>
      <c r="F93" s="19">
        <f t="shared" si="20"/>
        <v>0</v>
      </c>
      <c r="G93" s="2"/>
      <c r="H93" s="2"/>
      <c r="I93" s="2"/>
      <c r="J93" s="19">
        <f t="shared" si="21"/>
        <v>0</v>
      </c>
      <c r="K93" s="2"/>
      <c r="L93" s="2">
        <f t="shared" si="22"/>
        <v>0</v>
      </c>
      <c r="M93" s="2"/>
      <c r="N93" s="19">
        <f t="shared" si="23"/>
        <v>0</v>
      </c>
      <c r="O93" s="11"/>
      <c r="P93" s="2">
        <v>0</v>
      </c>
      <c r="Q93" s="2"/>
      <c r="R93" s="19">
        <f t="shared" si="24"/>
        <v>0</v>
      </c>
      <c r="S93" s="2"/>
      <c r="T93" s="2">
        <v>374.91</v>
      </c>
      <c r="U93" s="2"/>
      <c r="V93" s="19">
        <f t="shared" si="25"/>
        <v>9.6625669558210014E-5</v>
      </c>
      <c r="W93" s="2"/>
      <c r="X93" s="2">
        <f t="shared" si="26"/>
        <v>-374.91</v>
      </c>
      <c r="Y93" s="2"/>
      <c r="Z93" s="19">
        <f t="shared" si="27"/>
        <v>-1</v>
      </c>
    </row>
    <row r="94" spans="1:26" s="24" customFormat="1" hidden="1" outlineLevel="1" x14ac:dyDescent="0.3">
      <c r="A94" s="44"/>
      <c r="B94" s="11" t="str">
        <f>CONCATENATE("          ", "5027", " - ", "PURCHASES @ COST-SCHOOL SUPPLI")</f>
        <v xml:space="preserve">          5027 - PURCHASES @ COST-SCHOOL SUPPLI</v>
      </c>
      <c r="C94" s="11"/>
      <c r="D94" s="2"/>
      <c r="E94" s="2"/>
      <c r="F94" s="19">
        <f t="shared" si="20"/>
        <v>0</v>
      </c>
      <c r="G94" s="2"/>
      <c r="H94" s="2"/>
      <c r="I94" s="2"/>
      <c r="J94" s="19">
        <f t="shared" si="21"/>
        <v>0</v>
      </c>
      <c r="K94" s="2"/>
      <c r="L94" s="2">
        <f t="shared" si="22"/>
        <v>0</v>
      </c>
      <c r="M94" s="2"/>
      <c r="N94" s="19">
        <f t="shared" si="23"/>
        <v>0</v>
      </c>
      <c r="O94" s="11"/>
      <c r="P94" s="2">
        <v>0</v>
      </c>
      <c r="Q94" s="2"/>
      <c r="R94" s="19">
        <f t="shared" si="24"/>
        <v>0</v>
      </c>
      <c r="S94" s="2"/>
      <c r="T94" s="2">
        <v>19071.349999999999</v>
      </c>
      <c r="U94" s="2"/>
      <c r="V94" s="19">
        <f t="shared" si="25"/>
        <v>4.9152648985862427E-3</v>
      </c>
      <c r="W94" s="2"/>
      <c r="X94" s="2">
        <f t="shared" si="26"/>
        <v>-19071.349999999999</v>
      </c>
      <c r="Y94" s="2"/>
      <c r="Z94" s="19">
        <f t="shared" si="27"/>
        <v>-1</v>
      </c>
    </row>
    <row r="95" spans="1:26" s="24" customFormat="1" hidden="1" outlineLevel="1" x14ac:dyDescent="0.3">
      <c r="A95" s="44"/>
      <c r="B95" s="11" t="str">
        <f>CONCATENATE("          ", "5028", " - ", "PURCHASES @ COST-ART/TECH")</f>
        <v xml:space="preserve">          5028 - PURCHASES @ COST-ART/TECH</v>
      </c>
      <c r="C95" s="11"/>
      <c r="D95" s="2"/>
      <c r="E95" s="2"/>
      <c r="F95" s="19">
        <f t="shared" si="20"/>
        <v>0</v>
      </c>
      <c r="G95" s="2"/>
      <c r="H95" s="2"/>
      <c r="I95" s="2"/>
      <c r="J95" s="19">
        <f t="shared" si="21"/>
        <v>0</v>
      </c>
      <c r="K95" s="2"/>
      <c r="L95" s="2">
        <f t="shared" si="22"/>
        <v>0</v>
      </c>
      <c r="M95" s="2"/>
      <c r="N95" s="19">
        <f t="shared" si="23"/>
        <v>0</v>
      </c>
      <c r="O95" s="11"/>
      <c r="P95" s="2">
        <v>0</v>
      </c>
      <c r="Q95" s="2"/>
      <c r="R95" s="19">
        <f t="shared" si="24"/>
        <v>0</v>
      </c>
      <c r="S95" s="2"/>
      <c r="T95" s="2">
        <v>41358.449999999997</v>
      </c>
      <c r="U95" s="2"/>
      <c r="V95" s="19">
        <f t="shared" si="25"/>
        <v>1.0659326033287325E-2</v>
      </c>
      <c r="W95" s="2"/>
      <c r="X95" s="2">
        <f t="shared" si="26"/>
        <v>-41358.449999999997</v>
      </c>
      <c r="Y95" s="2"/>
      <c r="Z95" s="19">
        <f t="shared" si="27"/>
        <v>-1</v>
      </c>
    </row>
    <row r="96" spans="1:26" s="24" customFormat="1" hidden="1" outlineLevel="1" x14ac:dyDescent="0.3">
      <c r="A96" s="44"/>
      <c r="B96" s="11" t="str">
        <f>CONCATENATE("          ", "5031", " - ", "PURCHASES @ COST-FOOD")</f>
        <v xml:space="preserve">          5031 - PURCHASES @ COST-FOOD</v>
      </c>
      <c r="C96" s="11"/>
      <c r="D96" s="2"/>
      <c r="E96" s="2"/>
      <c r="F96" s="19">
        <f t="shared" si="20"/>
        <v>0</v>
      </c>
      <c r="G96" s="2"/>
      <c r="H96" s="2">
        <v>239.16</v>
      </c>
      <c r="I96" s="2"/>
      <c r="J96" s="19">
        <f t="shared" si="21"/>
        <v>2.0288020499892719E-4</v>
      </c>
      <c r="K96" s="2"/>
      <c r="L96" s="2">
        <f t="shared" si="22"/>
        <v>-239.16</v>
      </c>
      <c r="M96" s="2"/>
      <c r="N96" s="19">
        <f t="shared" si="23"/>
        <v>-1</v>
      </c>
      <c r="O96" s="11"/>
      <c r="P96" s="2">
        <v>0</v>
      </c>
      <c r="Q96" s="2"/>
      <c r="R96" s="19">
        <f t="shared" si="24"/>
        <v>0</v>
      </c>
      <c r="S96" s="2"/>
      <c r="T96" s="2">
        <v>7514.26</v>
      </c>
      <c r="U96" s="2"/>
      <c r="V96" s="19">
        <f t="shared" si="25"/>
        <v>1.9366525399015101E-3</v>
      </c>
      <c r="W96" s="2"/>
      <c r="X96" s="2">
        <f t="shared" si="26"/>
        <v>-7514.26</v>
      </c>
      <c r="Y96" s="2"/>
      <c r="Z96" s="19">
        <f t="shared" si="27"/>
        <v>-1</v>
      </c>
    </row>
    <row r="97" spans="1:26" s="24" customFormat="1" hidden="1" outlineLevel="1" x14ac:dyDescent="0.3">
      <c r="A97" s="44"/>
      <c r="B97" s="11" t="str">
        <f>CONCATENATE("          ", "5040", " - ", "PURCHASES @ COST-LOGO CLOTHING")</f>
        <v xml:space="preserve">          5040 - PURCHASES @ COST-LOGO CLOTHING</v>
      </c>
      <c r="C97" s="11"/>
      <c r="D97" s="2"/>
      <c r="E97" s="2"/>
      <c r="F97" s="19">
        <f t="shared" si="20"/>
        <v>0</v>
      </c>
      <c r="G97" s="2"/>
      <c r="H97" s="2">
        <v>34900.79</v>
      </c>
      <c r="I97" s="2"/>
      <c r="J97" s="19">
        <f t="shared" si="21"/>
        <v>2.9606453545009653E-2</v>
      </c>
      <c r="K97" s="2"/>
      <c r="L97" s="2">
        <f t="shared" si="22"/>
        <v>-34900.79</v>
      </c>
      <c r="M97" s="2"/>
      <c r="N97" s="19">
        <f t="shared" si="23"/>
        <v>-1</v>
      </c>
      <c r="O97" s="11"/>
      <c r="P97" s="2">
        <v>0</v>
      </c>
      <c r="Q97" s="2"/>
      <c r="R97" s="19">
        <f t="shared" si="24"/>
        <v>0</v>
      </c>
      <c r="S97" s="2"/>
      <c r="T97" s="2">
        <v>167371.19</v>
      </c>
      <c r="U97" s="2"/>
      <c r="V97" s="19">
        <f t="shared" si="25"/>
        <v>4.3136628253459187E-2</v>
      </c>
      <c r="W97" s="2"/>
      <c r="X97" s="2">
        <f t="shared" si="26"/>
        <v>-167371.19</v>
      </c>
      <c r="Y97" s="2"/>
      <c r="Z97" s="19">
        <f t="shared" si="27"/>
        <v>-1</v>
      </c>
    </row>
    <row r="98" spans="1:26" s="24" customFormat="1" hidden="1" outlineLevel="1" x14ac:dyDescent="0.3">
      <c r="A98" s="44"/>
      <c r="B98" s="11" t="str">
        <f>CONCATENATE("          ", "5041", " - ", "PURCHASES @ COST-LOGO GIFTS")</f>
        <v xml:space="preserve">          5041 - PURCHASES @ COST-LOGO GIFTS</v>
      </c>
      <c r="C98" s="11"/>
      <c r="D98" s="2"/>
      <c r="E98" s="2"/>
      <c r="F98" s="19">
        <f t="shared" si="20"/>
        <v>0</v>
      </c>
      <c r="G98" s="2"/>
      <c r="H98" s="2">
        <v>8769.24</v>
      </c>
      <c r="I98" s="2"/>
      <c r="J98" s="19">
        <f t="shared" si="21"/>
        <v>7.4389747820906181E-3</v>
      </c>
      <c r="K98" s="2"/>
      <c r="L98" s="2">
        <f t="shared" si="22"/>
        <v>-8769.24</v>
      </c>
      <c r="M98" s="2"/>
      <c r="N98" s="19">
        <f t="shared" si="23"/>
        <v>-1</v>
      </c>
      <c r="O98" s="11"/>
      <c r="P98" s="2">
        <v>0</v>
      </c>
      <c r="Q98" s="2"/>
      <c r="R98" s="19">
        <f t="shared" si="24"/>
        <v>0</v>
      </c>
      <c r="S98" s="2"/>
      <c r="T98" s="2">
        <v>40971</v>
      </c>
      <c r="U98" s="2"/>
      <c r="V98" s="19">
        <f t="shared" si="25"/>
        <v>1.0559468425673955E-2</v>
      </c>
      <c r="W98" s="2"/>
      <c r="X98" s="2">
        <f t="shared" si="26"/>
        <v>-40971</v>
      </c>
      <c r="Y98" s="2"/>
      <c r="Z98" s="19">
        <f t="shared" si="27"/>
        <v>-1</v>
      </c>
    </row>
    <row r="99" spans="1:26" s="24" customFormat="1" hidden="1" outlineLevel="1" x14ac:dyDescent="0.3">
      <c r="A99" s="44"/>
      <c r="B99" s="11" t="str">
        <f>CONCATENATE("          ", "5042", " - ", "PURCHASES @ COST-EVERYDAY GIFT")</f>
        <v xml:space="preserve">          5042 - PURCHASES @ COST-EVERYDAY GIFT</v>
      </c>
      <c r="C99" s="11"/>
      <c r="D99" s="2"/>
      <c r="E99" s="2"/>
      <c r="F99" s="19">
        <f t="shared" si="20"/>
        <v>0</v>
      </c>
      <c r="G99" s="2"/>
      <c r="H99" s="2">
        <v>6760.7</v>
      </c>
      <c r="I99" s="2"/>
      <c r="J99" s="19">
        <f t="shared" si="21"/>
        <v>5.7351237746121721E-3</v>
      </c>
      <c r="K99" s="2"/>
      <c r="L99" s="2">
        <f t="shared" si="22"/>
        <v>-6760.7</v>
      </c>
      <c r="M99" s="2"/>
      <c r="N99" s="19">
        <f t="shared" si="23"/>
        <v>-1</v>
      </c>
      <c r="O99" s="11"/>
      <c r="P99" s="2">
        <v>0</v>
      </c>
      <c r="Q99" s="2"/>
      <c r="R99" s="19">
        <f t="shared" si="24"/>
        <v>0</v>
      </c>
      <c r="S99" s="2"/>
      <c r="T99" s="2">
        <v>17821.98</v>
      </c>
      <c r="U99" s="2"/>
      <c r="V99" s="19">
        <f t="shared" si="25"/>
        <v>4.5932643843936615E-3</v>
      </c>
      <c r="W99" s="2"/>
      <c r="X99" s="2">
        <f t="shared" si="26"/>
        <v>-17821.98</v>
      </c>
      <c r="Y99" s="2"/>
      <c r="Z99" s="19">
        <f t="shared" si="27"/>
        <v>-1</v>
      </c>
    </row>
    <row r="100" spans="1:26" s="24" customFormat="1" hidden="1" outlineLevel="1" x14ac:dyDescent="0.3">
      <c r="A100" s="44"/>
      <c r="B100" s="11" t="str">
        <f>CONCATENATE("          ", "5043", " - ", "PURCHASES @ COST-CARDS")</f>
        <v xml:space="preserve">          5043 - PURCHASES @ COST-CARDS</v>
      </c>
      <c r="C100" s="11"/>
      <c r="D100" s="2"/>
      <c r="E100" s="2"/>
      <c r="F100" s="19">
        <f t="shared" si="20"/>
        <v>0</v>
      </c>
      <c r="G100" s="2"/>
      <c r="H100" s="2">
        <v>8743.1</v>
      </c>
      <c r="I100" s="2"/>
      <c r="J100" s="19">
        <f t="shared" si="21"/>
        <v>7.4168001351652465E-3</v>
      </c>
      <c r="K100" s="2"/>
      <c r="L100" s="2">
        <f t="shared" si="22"/>
        <v>-8743.1</v>
      </c>
      <c r="M100" s="2"/>
      <c r="N100" s="19">
        <f t="shared" si="23"/>
        <v>-1</v>
      </c>
      <c r="O100" s="11"/>
      <c r="P100" s="2">
        <v>0</v>
      </c>
      <c r="Q100" s="2"/>
      <c r="R100" s="19">
        <f t="shared" si="24"/>
        <v>0</v>
      </c>
      <c r="S100" s="2"/>
      <c r="T100" s="2">
        <v>55364.33</v>
      </c>
      <c r="U100" s="2"/>
      <c r="V100" s="19">
        <f t="shared" si="25"/>
        <v>1.4269065791501143E-2</v>
      </c>
      <c r="W100" s="2"/>
      <c r="X100" s="2">
        <f t="shared" si="26"/>
        <v>-55364.33</v>
      </c>
      <c r="Y100" s="2"/>
      <c r="Z100" s="19">
        <f t="shared" si="27"/>
        <v>-1</v>
      </c>
    </row>
    <row r="101" spans="1:26" s="24" customFormat="1" hidden="1" outlineLevel="1" x14ac:dyDescent="0.3">
      <c r="A101" s="44"/>
      <c r="B101" s="11" t="str">
        <f>CONCATENATE("          ", "5044", " - ", "PURCHASES @ COST-ACCESSORIES")</f>
        <v xml:space="preserve">          5044 - PURCHASES @ COST-ACCESSORIES</v>
      </c>
      <c r="C101" s="11"/>
      <c r="D101" s="2"/>
      <c r="E101" s="2"/>
      <c r="F101" s="19">
        <f t="shared" si="20"/>
        <v>0</v>
      </c>
      <c r="G101" s="2"/>
      <c r="H101" s="2">
        <v>782.5</v>
      </c>
      <c r="I101" s="2"/>
      <c r="J101" s="19">
        <f t="shared" si="21"/>
        <v>6.6379729223808555E-4</v>
      </c>
      <c r="K101" s="2"/>
      <c r="L101" s="2">
        <f t="shared" si="22"/>
        <v>-782.5</v>
      </c>
      <c r="M101" s="2"/>
      <c r="N101" s="19">
        <f t="shared" si="23"/>
        <v>-1</v>
      </c>
      <c r="O101" s="11"/>
      <c r="P101" s="2">
        <v>0</v>
      </c>
      <c r="Q101" s="2"/>
      <c r="R101" s="19">
        <f t="shared" si="24"/>
        <v>0</v>
      </c>
      <c r="S101" s="2"/>
      <c r="T101" s="2">
        <v>1064.83</v>
      </c>
      <c r="U101" s="2"/>
      <c r="V101" s="19">
        <f t="shared" si="25"/>
        <v>2.7443896325963233E-4</v>
      </c>
      <c r="W101" s="2"/>
      <c r="X101" s="2">
        <f t="shared" si="26"/>
        <v>-1064.83</v>
      </c>
      <c r="Y101" s="2"/>
      <c r="Z101" s="19">
        <f t="shared" si="27"/>
        <v>-1</v>
      </c>
    </row>
    <row r="102" spans="1:26" s="24" customFormat="1" hidden="1" outlineLevel="1" x14ac:dyDescent="0.3">
      <c r="A102" s="44"/>
      <c r="B102" s="11" t="str">
        <f>CONCATENATE("          ", "5045", " - ", "PURCHASES @ COST-SPECIAL ORDER")</f>
        <v xml:space="preserve">          5045 - PURCHASES @ COST-SPECIAL ORDER</v>
      </c>
      <c r="C102" s="11"/>
      <c r="D102" s="2"/>
      <c r="E102" s="2"/>
      <c r="F102" s="19">
        <f t="shared" si="20"/>
        <v>0</v>
      </c>
      <c r="G102" s="2"/>
      <c r="H102" s="2">
        <v>5855.38</v>
      </c>
      <c r="I102" s="2"/>
      <c r="J102" s="19">
        <f t="shared" si="21"/>
        <v>4.9671378773482955E-3</v>
      </c>
      <c r="K102" s="2"/>
      <c r="L102" s="2">
        <f t="shared" si="22"/>
        <v>-5855.38</v>
      </c>
      <c r="M102" s="2"/>
      <c r="N102" s="19">
        <f t="shared" si="23"/>
        <v>-1</v>
      </c>
      <c r="O102" s="11"/>
      <c r="P102" s="2">
        <v>0</v>
      </c>
      <c r="Q102" s="2"/>
      <c r="R102" s="19">
        <f t="shared" si="24"/>
        <v>0</v>
      </c>
      <c r="S102" s="2"/>
      <c r="T102" s="2">
        <v>93464.38</v>
      </c>
      <c r="U102" s="2"/>
      <c r="V102" s="19">
        <f t="shared" si="25"/>
        <v>2.4088603391061784E-2</v>
      </c>
      <c r="W102" s="2"/>
      <c r="X102" s="2">
        <f t="shared" si="26"/>
        <v>-93464.38</v>
      </c>
      <c r="Y102" s="2"/>
      <c r="Z102" s="19">
        <f t="shared" si="27"/>
        <v>-1</v>
      </c>
    </row>
    <row r="103" spans="1:26" s="24" customFormat="1" hidden="1" outlineLevel="1" x14ac:dyDescent="0.3">
      <c r="A103" s="44"/>
      <c r="B103" s="11" t="str">
        <f>CONCATENATE("          ", "5053", " - ", "PURCHASES @ COST-FOOD")</f>
        <v xml:space="preserve">          5053 - PURCHASES @ COST-FOOD</v>
      </c>
      <c r="C103" s="11"/>
      <c r="D103" s="2">
        <v>238.42</v>
      </c>
      <c r="E103" s="2"/>
      <c r="F103" s="19">
        <f t="shared" si="20"/>
        <v>3.1355059488406991E-4</v>
      </c>
      <c r="G103" s="2"/>
      <c r="H103" s="2">
        <v>-257.75</v>
      </c>
      <c r="I103" s="2"/>
      <c r="J103" s="19">
        <f t="shared" si="21"/>
        <v>-2.186501623953566E-4</v>
      </c>
      <c r="K103" s="2"/>
      <c r="L103" s="2">
        <f t="shared" si="22"/>
        <v>496.16999999999996</v>
      </c>
      <c r="M103" s="2"/>
      <c r="N103" s="19">
        <f t="shared" si="23"/>
        <v>-1.9250048496605237</v>
      </c>
      <c r="O103" s="11"/>
      <c r="P103" s="2">
        <v>41937.61</v>
      </c>
      <c r="Q103" s="2"/>
      <c r="R103" s="19">
        <f t="shared" si="24"/>
        <v>9.3237670626268327E-3</v>
      </c>
      <c r="S103" s="2"/>
      <c r="T103" s="2">
        <v>-2822.95</v>
      </c>
      <c r="U103" s="2"/>
      <c r="V103" s="19">
        <f t="shared" si="25"/>
        <v>-7.2755977135672276E-4</v>
      </c>
      <c r="W103" s="2"/>
      <c r="X103" s="2">
        <f t="shared" si="26"/>
        <v>44760.56</v>
      </c>
      <c r="Y103" s="2"/>
      <c r="Z103" s="19">
        <f t="shared" si="27"/>
        <v>-15.855952106838592</v>
      </c>
    </row>
    <row r="104" spans="1:26" s="24" customFormat="1" hidden="1" outlineLevel="1" x14ac:dyDescent="0.3">
      <c r="A104" s="44"/>
      <c r="B104" s="11" t="str">
        <f>CONCATENATE("          ", "5059", " - ", "PURCHASES @ COST-FOOD")</f>
        <v xml:space="preserve">          5059 - PURCHASES @ COST-FOOD</v>
      </c>
      <c r="C104" s="11"/>
      <c r="D104" s="2">
        <v>5649.36</v>
      </c>
      <c r="E104" s="2"/>
      <c r="F104" s="19">
        <f t="shared" si="20"/>
        <v>7.4295788470525505E-3</v>
      </c>
      <c r="G104" s="2"/>
      <c r="H104" s="2"/>
      <c r="I104" s="2"/>
      <c r="J104" s="19">
        <f t="shared" si="21"/>
        <v>0</v>
      </c>
      <c r="K104" s="2"/>
      <c r="L104" s="2">
        <f t="shared" si="22"/>
        <v>5649.36</v>
      </c>
      <c r="M104" s="2"/>
      <c r="N104" s="19">
        <f t="shared" si="23"/>
        <v>0</v>
      </c>
      <c r="O104" s="11"/>
      <c r="P104" s="2">
        <v>10407.48</v>
      </c>
      <c r="Q104" s="2"/>
      <c r="R104" s="19">
        <f t="shared" si="24"/>
        <v>2.3138399930026413E-3</v>
      </c>
      <c r="S104" s="2"/>
      <c r="T104" s="2">
        <v>11697.91</v>
      </c>
      <c r="U104" s="2"/>
      <c r="V104" s="19">
        <f t="shared" si="25"/>
        <v>3.0149059405768864E-3</v>
      </c>
      <c r="W104" s="2"/>
      <c r="X104" s="2">
        <f t="shared" si="26"/>
        <v>-1290.4300000000003</v>
      </c>
      <c r="Y104" s="2"/>
      <c r="Z104" s="19">
        <f t="shared" si="27"/>
        <v>-0.11031286785417227</v>
      </c>
    </row>
    <row r="105" spans="1:26" s="24" customFormat="1" hidden="1" outlineLevel="1" x14ac:dyDescent="0.3">
      <c r="A105" s="44"/>
      <c r="B105" s="11" t="str">
        <f>CONCATENATE("          ", "5092", " - ", "PURCHASES @ COST-GRAD MERCH")</f>
        <v xml:space="preserve">          5092 - PURCHASES @ COST-GRAD MERCH</v>
      </c>
      <c r="C105" s="11"/>
      <c r="D105" s="2"/>
      <c r="E105" s="2"/>
      <c r="F105" s="19">
        <f t="shared" si="20"/>
        <v>0</v>
      </c>
      <c r="G105" s="2"/>
      <c r="H105" s="2"/>
      <c r="I105" s="2"/>
      <c r="J105" s="19">
        <f t="shared" si="21"/>
        <v>0</v>
      </c>
      <c r="K105" s="2"/>
      <c r="L105" s="2">
        <f t="shared" si="22"/>
        <v>0</v>
      </c>
      <c r="M105" s="2"/>
      <c r="N105" s="19">
        <f t="shared" si="23"/>
        <v>0</v>
      </c>
      <c r="O105" s="11"/>
      <c r="P105" s="2"/>
      <c r="Q105" s="2"/>
      <c r="R105" s="19">
        <f t="shared" si="24"/>
        <v>0</v>
      </c>
      <c r="S105" s="2"/>
      <c r="T105" s="2">
        <v>0</v>
      </c>
      <c r="U105" s="2"/>
      <c r="V105" s="19">
        <f t="shared" si="25"/>
        <v>0</v>
      </c>
      <c r="W105" s="2"/>
      <c r="X105" s="2">
        <f t="shared" si="26"/>
        <v>0</v>
      </c>
      <c r="Y105" s="2"/>
      <c r="Z105" s="19">
        <f t="shared" si="27"/>
        <v>0</v>
      </c>
    </row>
    <row r="106" spans="1:26" s="24" customFormat="1" hidden="1" outlineLevel="1" x14ac:dyDescent="0.3">
      <c r="A106" s="44"/>
      <c r="B106" s="11" t="str">
        <f>CONCATENATE("          ", "5200", " - ", "PURCHASES OFFSET")</f>
        <v xml:space="preserve">          5200 - PURCHASES OFFSET</v>
      </c>
      <c r="C106" s="11"/>
      <c r="D106" s="2">
        <v>-472988.62</v>
      </c>
      <c r="E106" s="2"/>
      <c r="F106" s="19">
        <f t="shared" si="20"/>
        <v>-0.62203616799930916</v>
      </c>
      <c r="G106" s="2"/>
      <c r="H106" s="2">
        <v>-390760.97</v>
      </c>
      <c r="I106" s="2"/>
      <c r="J106" s="19">
        <f t="shared" si="21"/>
        <v>-0.33148380038124953</v>
      </c>
      <c r="K106" s="2"/>
      <c r="L106" s="2">
        <f t="shared" si="22"/>
        <v>-82227.650000000023</v>
      </c>
      <c r="M106" s="2"/>
      <c r="N106" s="19">
        <f t="shared" si="23"/>
        <v>0.21042953701338193</v>
      </c>
      <c r="O106" s="11"/>
      <c r="P106" s="2">
        <v>-2823984.16</v>
      </c>
      <c r="Q106" s="2"/>
      <c r="R106" s="19">
        <f t="shared" si="24"/>
        <v>-0.62784146489005699</v>
      </c>
      <c r="S106" s="2"/>
      <c r="T106" s="2">
        <v>-2135783.4</v>
      </c>
      <c r="U106" s="2"/>
      <c r="V106" s="19">
        <f t="shared" si="25"/>
        <v>-0.55045611228377544</v>
      </c>
      <c r="W106" s="2"/>
      <c r="X106" s="2">
        <f t="shared" si="26"/>
        <v>-688200.76000000024</v>
      </c>
      <c r="Y106" s="2"/>
      <c r="Z106" s="19">
        <f t="shared" si="27"/>
        <v>0.32222404200725613</v>
      </c>
    </row>
    <row r="107" spans="1:26" s="24" customFormat="1" hidden="1" outlineLevel="1" x14ac:dyDescent="0.3">
      <c r="A107" s="44"/>
      <c r="B107" s="11" t="str">
        <f>CONCATENATE("          ", "5300", " - ", "COG$ OFFSET")</f>
        <v xml:space="preserve">          5300 - COG$ OFFSET</v>
      </c>
      <c r="C107" s="11"/>
      <c r="D107" s="2">
        <v>414305.51</v>
      </c>
      <c r="E107" s="2"/>
      <c r="F107" s="19">
        <f t="shared" si="20"/>
        <v>0.54486091403509762</v>
      </c>
      <c r="G107" s="2"/>
      <c r="H107" s="2">
        <v>584457</v>
      </c>
      <c r="I107" s="2"/>
      <c r="J107" s="19">
        <f t="shared" si="21"/>
        <v>0.4957967719228048</v>
      </c>
      <c r="K107" s="2"/>
      <c r="L107" s="2">
        <f t="shared" si="22"/>
        <v>-170151.49</v>
      </c>
      <c r="M107" s="2"/>
      <c r="N107" s="19">
        <f t="shared" si="23"/>
        <v>-0.29112747387746229</v>
      </c>
      <c r="O107" s="11"/>
      <c r="P107" s="2">
        <v>2375016.67</v>
      </c>
      <c r="Q107" s="2"/>
      <c r="R107" s="19">
        <f t="shared" si="24"/>
        <v>0.52802489700618749</v>
      </c>
      <c r="S107" s="2"/>
      <c r="T107" s="2">
        <v>1975590</v>
      </c>
      <c r="U107" s="2"/>
      <c r="V107" s="19">
        <f t="shared" si="25"/>
        <v>0.50916941805367721</v>
      </c>
      <c r="W107" s="2"/>
      <c r="X107" s="2">
        <f t="shared" si="26"/>
        <v>399426.66999999993</v>
      </c>
      <c r="Y107" s="2"/>
      <c r="Z107" s="19">
        <f t="shared" si="27"/>
        <v>0.20218095353793039</v>
      </c>
    </row>
    <row r="108" spans="1:26" s="24" customFormat="1" hidden="1" outlineLevel="1" x14ac:dyDescent="0.3">
      <c r="A108" s="44"/>
      <c r="B108" s="11" t="str">
        <f>CONCATENATE("          ", "5500", " - ", "FREIGHT-IN")</f>
        <v xml:space="preserve">          5500 - FREIGHT-IN</v>
      </c>
      <c r="C108" s="11"/>
      <c r="D108" s="2">
        <v>21903.56</v>
      </c>
      <c r="E108" s="2"/>
      <c r="F108" s="19">
        <f t="shared" si="20"/>
        <v>2.880578084086452E-2</v>
      </c>
      <c r="G108" s="2"/>
      <c r="H108" s="2">
        <v>0</v>
      </c>
      <c r="I108" s="2"/>
      <c r="J108" s="19">
        <f t="shared" si="21"/>
        <v>0</v>
      </c>
      <c r="K108" s="2"/>
      <c r="L108" s="2">
        <f t="shared" si="22"/>
        <v>21903.56</v>
      </c>
      <c r="M108" s="2"/>
      <c r="N108" s="19">
        <f t="shared" si="23"/>
        <v>0</v>
      </c>
      <c r="O108" s="11"/>
      <c r="P108" s="2">
        <v>92185.86</v>
      </c>
      <c r="Q108" s="2"/>
      <c r="R108" s="19">
        <f t="shared" si="24"/>
        <v>2.0495194769275797E-2</v>
      </c>
      <c r="S108" s="2"/>
      <c r="T108" s="2">
        <v>0</v>
      </c>
      <c r="U108" s="2"/>
      <c r="V108" s="19">
        <f t="shared" si="25"/>
        <v>0</v>
      </c>
      <c r="W108" s="2"/>
      <c r="X108" s="2">
        <f t="shared" si="26"/>
        <v>92185.86</v>
      </c>
      <c r="Y108" s="2"/>
      <c r="Z108" s="19">
        <f t="shared" si="27"/>
        <v>0</v>
      </c>
    </row>
    <row r="109" spans="1:26" s="24" customFormat="1" hidden="1" outlineLevel="1" x14ac:dyDescent="0.3">
      <c r="A109" s="44"/>
      <c r="B109" s="11" t="str">
        <f>CONCATENATE("          ", "5501", " - ", "FREIGHT-IN-NEW TEXT")</f>
        <v xml:space="preserve">          5501 - FREIGHT-IN-NEW TEXT</v>
      </c>
      <c r="C109" s="11"/>
      <c r="D109" s="2"/>
      <c r="E109" s="2"/>
      <c r="F109" s="19">
        <f t="shared" si="20"/>
        <v>0</v>
      </c>
      <c r="G109" s="2"/>
      <c r="H109" s="2">
        <v>7155.21</v>
      </c>
      <c r="I109" s="2"/>
      <c r="J109" s="19">
        <f t="shared" si="21"/>
        <v>6.0697878893225202E-3</v>
      </c>
      <c r="K109" s="2"/>
      <c r="L109" s="2">
        <f t="shared" si="22"/>
        <v>-7155.21</v>
      </c>
      <c r="M109" s="2"/>
      <c r="N109" s="19">
        <f t="shared" si="23"/>
        <v>-1</v>
      </c>
      <c r="O109" s="11"/>
      <c r="P109" s="2">
        <v>0</v>
      </c>
      <c r="Q109" s="2"/>
      <c r="R109" s="19">
        <f t="shared" si="24"/>
        <v>0</v>
      </c>
      <c r="S109" s="2"/>
      <c r="T109" s="2">
        <v>44618.79</v>
      </c>
      <c r="U109" s="2"/>
      <c r="V109" s="19">
        <f t="shared" si="25"/>
        <v>1.1499614463810422E-2</v>
      </c>
      <c r="W109" s="2"/>
      <c r="X109" s="2">
        <f t="shared" si="26"/>
        <v>-44618.79</v>
      </c>
      <c r="Y109" s="2"/>
      <c r="Z109" s="19">
        <f t="shared" si="27"/>
        <v>-1</v>
      </c>
    </row>
    <row r="110" spans="1:26" s="24" customFormat="1" hidden="1" outlineLevel="1" x14ac:dyDescent="0.3">
      <c r="A110" s="44"/>
      <c r="B110" s="11" t="str">
        <f>CONCATENATE("          ", "5502", " - ", "FREIGHT-IN-USED TEXT")</f>
        <v xml:space="preserve">          5502 - FREIGHT-IN-USED TEXT</v>
      </c>
      <c r="C110" s="11"/>
      <c r="D110" s="2"/>
      <c r="E110" s="2"/>
      <c r="F110" s="19">
        <f t="shared" si="20"/>
        <v>0</v>
      </c>
      <c r="G110" s="2"/>
      <c r="H110" s="2">
        <v>2129.7399999999998</v>
      </c>
      <c r="I110" s="2"/>
      <c r="J110" s="19">
        <f t="shared" si="21"/>
        <v>1.8066653612410736E-3</v>
      </c>
      <c r="K110" s="2"/>
      <c r="L110" s="2">
        <f t="shared" si="22"/>
        <v>-2129.7399999999998</v>
      </c>
      <c r="M110" s="2"/>
      <c r="N110" s="19">
        <f t="shared" si="23"/>
        <v>-1</v>
      </c>
      <c r="O110" s="11"/>
      <c r="P110" s="2">
        <v>0</v>
      </c>
      <c r="Q110" s="2"/>
      <c r="R110" s="19">
        <f t="shared" si="24"/>
        <v>0</v>
      </c>
      <c r="S110" s="2"/>
      <c r="T110" s="2">
        <v>15652.31</v>
      </c>
      <c r="U110" s="2"/>
      <c r="V110" s="19">
        <f t="shared" si="25"/>
        <v>4.034074668274162E-3</v>
      </c>
      <c r="W110" s="2"/>
      <c r="X110" s="2">
        <f t="shared" si="26"/>
        <v>-15652.31</v>
      </c>
      <c r="Y110" s="2"/>
      <c r="Z110" s="19">
        <f t="shared" si="27"/>
        <v>-1</v>
      </c>
    </row>
    <row r="111" spans="1:26" s="24" customFormat="1" hidden="1" outlineLevel="1" x14ac:dyDescent="0.3">
      <c r="A111" s="44"/>
      <c r="B111" s="11" t="str">
        <f>CONCATENATE("          ", "5504", " - ", "FREIGHT-IN-DIGITAL TEXT")</f>
        <v xml:space="preserve">          5504 - FREIGHT-IN-DIGITAL TEXT</v>
      </c>
      <c r="C111" s="11"/>
      <c r="D111" s="2"/>
      <c r="E111" s="2"/>
      <c r="F111" s="19">
        <f t="shared" si="20"/>
        <v>0</v>
      </c>
      <c r="G111" s="2"/>
      <c r="H111" s="2"/>
      <c r="I111" s="2"/>
      <c r="J111" s="19">
        <f t="shared" si="21"/>
        <v>0</v>
      </c>
      <c r="K111" s="2"/>
      <c r="L111" s="2">
        <f t="shared" si="22"/>
        <v>0</v>
      </c>
      <c r="M111" s="2"/>
      <c r="N111" s="19">
        <f t="shared" si="23"/>
        <v>0</v>
      </c>
      <c r="O111" s="11"/>
      <c r="P111" s="2"/>
      <c r="Q111" s="2"/>
      <c r="R111" s="19">
        <f t="shared" si="24"/>
        <v>0</v>
      </c>
      <c r="S111" s="2"/>
      <c r="T111" s="2">
        <v>21.98</v>
      </c>
      <c r="U111" s="2"/>
      <c r="V111" s="19">
        <f t="shared" si="25"/>
        <v>5.6649121572896325E-6</v>
      </c>
      <c r="W111" s="2"/>
      <c r="X111" s="2">
        <f t="shared" si="26"/>
        <v>-21.98</v>
      </c>
      <c r="Y111" s="2"/>
      <c r="Z111" s="19">
        <f t="shared" si="27"/>
        <v>-1</v>
      </c>
    </row>
    <row r="112" spans="1:26" s="24" customFormat="1" hidden="1" outlineLevel="1" x14ac:dyDescent="0.3">
      <c r="A112" s="44"/>
      <c r="B112" s="11" t="str">
        <f>CONCATENATE("          ", "5513", " - ", "FREIGHT-IN-TRADE BOOKS")</f>
        <v xml:space="preserve">          5513 - FREIGHT-IN-TRADE BOOKS</v>
      </c>
      <c r="C112" s="11"/>
      <c r="D112" s="2"/>
      <c r="E112" s="2"/>
      <c r="F112" s="19">
        <f t="shared" si="20"/>
        <v>0</v>
      </c>
      <c r="G112" s="2"/>
      <c r="H112" s="2">
        <v>7.06</v>
      </c>
      <c r="I112" s="2"/>
      <c r="J112" s="19">
        <f t="shared" si="21"/>
        <v>5.9890209369979339E-6</v>
      </c>
      <c r="K112" s="2"/>
      <c r="L112" s="2">
        <f t="shared" si="22"/>
        <v>-7.06</v>
      </c>
      <c r="M112" s="2"/>
      <c r="N112" s="19">
        <f t="shared" si="23"/>
        <v>-1</v>
      </c>
      <c r="O112" s="11"/>
      <c r="P112" s="2"/>
      <c r="Q112" s="2"/>
      <c r="R112" s="19">
        <f t="shared" si="24"/>
        <v>0</v>
      </c>
      <c r="S112" s="2"/>
      <c r="T112" s="2">
        <v>33.520000000000003</v>
      </c>
      <c r="U112" s="2"/>
      <c r="V112" s="19">
        <f t="shared" si="25"/>
        <v>8.6391199050204047E-6</v>
      </c>
      <c r="W112" s="2"/>
      <c r="X112" s="2">
        <f t="shared" si="26"/>
        <v>-33.520000000000003</v>
      </c>
      <c r="Y112" s="2"/>
      <c r="Z112" s="19">
        <f t="shared" si="27"/>
        <v>-1</v>
      </c>
    </row>
    <row r="113" spans="1:26" s="24" customFormat="1" hidden="1" outlineLevel="1" x14ac:dyDescent="0.3">
      <c r="A113" s="44"/>
      <c r="B113" s="11" t="str">
        <f>CONCATENATE("          ", "5518", " - ", "FREIGHT-IN-STUDY GUIDES")</f>
        <v xml:space="preserve">          5518 - FREIGHT-IN-STUDY GUIDES</v>
      </c>
      <c r="C113" s="11"/>
      <c r="D113" s="2"/>
      <c r="E113" s="2"/>
      <c r="F113" s="19">
        <f t="shared" si="20"/>
        <v>0</v>
      </c>
      <c r="G113" s="2"/>
      <c r="H113" s="2"/>
      <c r="I113" s="2"/>
      <c r="J113" s="19">
        <f t="shared" si="21"/>
        <v>0</v>
      </c>
      <c r="K113" s="2"/>
      <c r="L113" s="2">
        <f t="shared" si="22"/>
        <v>0</v>
      </c>
      <c r="M113" s="2"/>
      <c r="N113" s="19">
        <f t="shared" si="23"/>
        <v>0</v>
      </c>
      <c r="O113" s="11"/>
      <c r="P113" s="2">
        <v>0</v>
      </c>
      <c r="Q113" s="2"/>
      <c r="R113" s="19">
        <f t="shared" si="24"/>
        <v>0</v>
      </c>
      <c r="S113" s="2"/>
      <c r="T113" s="2"/>
      <c r="U113" s="2"/>
      <c r="V113" s="19">
        <f t="shared" si="25"/>
        <v>0</v>
      </c>
      <c r="W113" s="2"/>
      <c r="X113" s="2">
        <f t="shared" si="26"/>
        <v>0</v>
      </c>
      <c r="Y113" s="2"/>
      <c r="Z113" s="19">
        <f t="shared" si="27"/>
        <v>0</v>
      </c>
    </row>
    <row r="114" spans="1:26" s="24" customFormat="1" hidden="1" outlineLevel="1" x14ac:dyDescent="0.3">
      <c r="A114" s="44"/>
      <c r="B114" s="11" t="str">
        <f>CONCATENATE("          ", "5525", " - ", "FREIGHT-IN-TEST FORMS")</f>
        <v xml:space="preserve">          5525 - FREIGHT-IN-TEST FORMS</v>
      </c>
      <c r="C114" s="11"/>
      <c r="D114" s="2"/>
      <c r="E114" s="2"/>
      <c r="F114" s="19">
        <f t="shared" si="20"/>
        <v>0</v>
      </c>
      <c r="G114" s="2"/>
      <c r="H114" s="2"/>
      <c r="I114" s="2"/>
      <c r="J114" s="19">
        <f t="shared" si="21"/>
        <v>0</v>
      </c>
      <c r="K114" s="2"/>
      <c r="L114" s="2">
        <f t="shared" si="22"/>
        <v>0</v>
      </c>
      <c r="M114" s="2"/>
      <c r="N114" s="19">
        <f t="shared" si="23"/>
        <v>0</v>
      </c>
      <c r="O114" s="11"/>
      <c r="P114" s="2"/>
      <c r="Q114" s="2"/>
      <c r="R114" s="19">
        <f t="shared" si="24"/>
        <v>0</v>
      </c>
      <c r="S114" s="2"/>
      <c r="T114" s="2">
        <v>48.14</v>
      </c>
      <c r="U114" s="2"/>
      <c r="V114" s="19">
        <f t="shared" si="25"/>
        <v>1.2407136999632525E-5</v>
      </c>
      <c r="W114" s="2"/>
      <c r="X114" s="2">
        <f t="shared" si="26"/>
        <v>-48.14</v>
      </c>
      <c r="Y114" s="2"/>
      <c r="Z114" s="19">
        <f t="shared" si="27"/>
        <v>-1</v>
      </c>
    </row>
    <row r="115" spans="1:26" s="24" customFormat="1" hidden="1" outlineLevel="1" x14ac:dyDescent="0.3">
      <c r="A115" s="44"/>
      <c r="B115" s="11" t="str">
        <f>CONCATENATE("          ", "5526", " - ", "FREIGHT-IN-WRITING INSTRUMENTS")</f>
        <v xml:space="preserve">          5526 - FREIGHT-IN-WRITING INSTRUMENTS</v>
      </c>
      <c r="C115" s="11"/>
      <c r="D115" s="2"/>
      <c r="E115" s="2"/>
      <c r="F115" s="19">
        <f t="shared" si="20"/>
        <v>0</v>
      </c>
      <c r="G115" s="2"/>
      <c r="H115" s="2"/>
      <c r="I115" s="2"/>
      <c r="J115" s="19">
        <f t="shared" si="21"/>
        <v>0</v>
      </c>
      <c r="K115" s="2"/>
      <c r="L115" s="2">
        <f t="shared" si="22"/>
        <v>0</v>
      </c>
      <c r="M115" s="2"/>
      <c r="N115" s="19">
        <f t="shared" si="23"/>
        <v>0</v>
      </c>
      <c r="O115" s="11"/>
      <c r="P115" s="2"/>
      <c r="Q115" s="2"/>
      <c r="R115" s="19">
        <f t="shared" si="24"/>
        <v>0</v>
      </c>
      <c r="S115" s="2"/>
      <c r="T115" s="2">
        <v>0</v>
      </c>
      <c r="U115" s="2"/>
      <c r="V115" s="19">
        <f t="shared" si="25"/>
        <v>0</v>
      </c>
      <c r="W115" s="2"/>
      <c r="X115" s="2">
        <f t="shared" si="26"/>
        <v>0</v>
      </c>
      <c r="Y115" s="2"/>
      <c r="Z115" s="19">
        <f t="shared" si="27"/>
        <v>0</v>
      </c>
    </row>
    <row r="116" spans="1:26" s="24" customFormat="1" hidden="1" outlineLevel="1" x14ac:dyDescent="0.3">
      <c r="A116" s="44"/>
      <c r="B116" s="11" t="str">
        <f>CONCATENATE("          ", "5527", " - ", "FREIGHT-IN-SCHOOL SUPPLIES")</f>
        <v xml:space="preserve">          5527 - FREIGHT-IN-SCHOOL SUPPLIES</v>
      </c>
      <c r="C116" s="11"/>
      <c r="D116" s="2"/>
      <c r="E116" s="2"/>
      <c r="F116" s="19">
        <f t="shared" si="20"/>
        <v>0</v>
      </c>
      <c r="G116" s="2"/>
      <c r="H116" s="2"/>
      <c r="I116" s="2"/>
      <c r="J116" s="19">
        <f t="shared" si="21"/>
        <v>0</v>
      </c>
      <c r="K116" s="2"/>
      <c r="L116" s="2">
        <f t="shared" si="22"/>
        <v>0</v>
      </c>
      <c r="M116" s="2"/>
      <c r="N116" s="19">
        <f t="shared" si="23"/>
        <v>0</v>
      </c>
      <c r="O116" s="11"/>
      <c r="P116" s="2">
        <v>0</v>
      </c>
      <c r="Q116" s="2"/>
      <c r="R116" s="19">
        <f t="shared" si="24"/>
        <v>0</v>
      </c>
      <c r="S116" s="2"/>
      <c r="T116" s="2">
        <v>177.5</v>
      </c>
      <c r="U116" s="2"/>
      <c r="V116" s="19">
        <f t="shared" si="25"/>
        <v>4.5747129568649213E-5</v>
      </c>
      <c r="W116" s="2"/>
      <c r="X116" s="2">
        <f t="shared" si="26"/>
        <v>-177.5</v>
      </c>
      <c r="Y116" s="2"/>
      <c r="Z116" s="19">
        <f t="shared" si="27"/>
        <v>-1</v>
      </c>
    </row>
    <row r="117" spans="1:26" s="24" customFormat="1" hidden="1" outlineLevel="1" x14ac:dyDescent="0.3">
      <c r="A117" s="44"/>
      <c r="B117" s="11" t="str">
        <f>CONCATENATE("          ", "5528", " - ", "FREIGHT-IN-ART/TECH")</f>
        <v xml:space="preserve">          5528 - FREIGHT-IN-ART/TECH</v>
      </c>
      <c r="C117" s="11"/>
      <c r="D117" s="2"/>
      <c r="E117" s="2"/>
      <c r="F117" s="19">
        <f t="shared" si="20"/>
        <v>0</v>
      </c>
      <c r="G117" s="2"/>
      <c r="H117" s="2">
        <v>48.53</v>
      </c>
      <c r="I117" s="2"/>
      <c r="J117" s="19">
        <f t="shared" si="21"/>
        <v>4.1168156667494302E-5</v>
      </c>
      <c r="K117" s="2"/>
      <c r="L117" s="2">
        <f t="shared" si="22"/>
        <v>-48.53</v>
      </c>
      <c r="M117" s="2"/>
      <c r="N117" s="19">
        <f t="shared" si="23"/>
        <v>-1</v>
      </c>
      <c r="O117" s="11"/>
      <c r="P117" s="2">
        <v>0</v>
      </c>
      <c r="Q117" s="2"/>
      <c r="R117" s="19">
        <f t="shared" si="24"/>
        <v>0</v>
      </c>
      <c r="S117" s="2"/>
      <c r="T117" s="2">
        <v>338.74</v>
      </c>
      <c r="U117" s="2"/>
      <c r="V117" s="19">
        <f t="shared" si="25"/>
        <v>8.7303564338502728E-5</v>
      </c>
      <c r="W117" s="2"/>
      <c r="X117" s="2">
        <f t="shared" si="26"/>
        <v>-338.74</v>
      </c>
      <c r="Y117" s="2"/>
      <c r="Z117" s="19">
        <f t="shared" si="27"/>
        <v>-1</v>
      </c>
    </row>
    <row r="118" spans="1:26" s="24" customFormat="1" hidden="1" outlineLevel="1" x14ac:dyDescent="0.3">
      <c r="A118" s="44"/>
      <c r="B118" s="11" t="str">
        <f>CONCATENATE("          ", "5540", " - ", "FREIGHT-IN-LOGO CLOTHING")</f>
        <v xml:space="preserve">          5540 - FREIGHT-IN-LOGO CLOTHING</v>
      </c>
      <c r="C118" s="11"/>
      <c r="D118" s="2"/>
      <c r="E118" s="2"/>
      <c r="F118" s="19">
        <f t="shared" si="20"/>
        <v>0</v>
      </c>
      <c r="G118" s="2"/>
      <c r="H118" s="2">
        <v>347.67</v>
      </c>
      <c r="I118" s="2"/>
      <c r="J118" s="19">
        <f t="shared" si="21"/>
        <v>2.9492959053343794E-4</v>
      </c>
      <c r="K118" s="2"/>
      <c r="L118" s="2">
        <f t="shared" si="22"/>
        <v>-347.67</v>
      </c>
      <c r="M118" s="2"/>
      <c r="N118" s="19">
        <f t="shared" si="23"/>
        <v>-1</v>
      </c>
      <c r="O118" s="11"/>
      <c r="P118" s="2">
        <v>0</v>
      </c>
      <c r="Q118" s="2"/>
      <c r="R118" s="19">
        <f t="shared" si="24"/>
        <v>0</v>
      </c>
      <c r="S118" s="2"/>
      <c r="T118" s="2">
        <v>5790.63</v>
      </c>
      <c r="U118" s="2"/>
      <c r="V118" s="19">
        <f t="shared" si="25"/>
        <v>1.4924208501076461E-3</v>
      </c>
      <c r="W118" s="2"/>
      <c r="X118" s="2">
        <f t="shared" si="26"/>
        <v>-5790.63</v>
      </c>
      <c r="Y118" s="2"/>
      <c r="Z118" s="19">
        <f t="shared" si="27"/>
        <v>-1</v>
      </c>
    </row>
    <row r="119" spans="1:26" s="24" customFormat="1" hidden="1" outlineLevel="1" x14ac:dyDescent="0.3">
      <c r="A119" s="44"/>
      <c r="B119" s="11" t="str">
        <f>CONCATENATE("          ", "5541", " - ", "FREIGHT-IN-LOGO GIFTS")</f>
        <v xml:space="preserve">          5541 - FREIGHT-IN-LOGO GIFTS</v>
      </c>
      <c r="C119" s="11"/>
      <c r="D119" s="2"/>
      <c r="E119" s="2"/>
      <c r="F119" s="19">
        <f t="shared" si="20"/>
        <v>0</v>
      </c>
      <c r="G119" s="2"/>
      <c r="H119" s="2">
        <v>182.93</v>
      </c>
      <c r="I119" s="2"/>
      <c r="J119" s="19">
        <f t="shared" si="21"/>
        <v>1.5518011331516036E-4</v>
      </c>
      <c r="K119" s="2"/>
      <c r="L119" s="2">
        <f t="shared" si="22"/>
        <v>-182.93</v>
      </c>
      <c r="M119" s="2"/>
      <c r="N119" s="19">
        <f t="shared" si="23"/>
        <v>-1</v>
      </c>
      <c r="O119" s="11"/>
      <c r="P119" s="2">
        <v>0</v>
      </c>
      <c r="Q119" s="2"/>
      <c r="R119" s="19">
        <f t="shared" si="24"/>
        <v>0</v>
      </c>
      <c r="S119" s="2"/>
      <c r="T119" s="2">
        <v>1702.87</v>
      </c>
      <c r="U119" s="2"/>
      <c r="V119" s="19">
        <f t="shared" si="25"/>
        <v>4.3888120861163764E-4</v>
      </c>
      <c r="W119" s="2"/>
      <c r="X119" s="2">
        <f t="shared" si="26"/>
        <v>-1702.87</v>
      </c>
      <c r="Y119" s="2"/>
      <c r="Z119" s="19">
        <f t="shared" si="27"/>
        <v>-1</v>
      </c>
    </row>
    <row r="120" spans="1:26" s="24" customFormat="1" hidden="1" outlineLevel="1" x14ac:dyDescent="0.3">
      <c r="A120" s="44"/>
      <c r="B120" s="11" t="str">
        <f>CONCATENATE("          ", "5542", " - ", "FREIGHT-IN-EVERYDAY GIFTS")</f>
        <v xml:space="preserve">          5542 - FREIGHT-IN-EVERYDAY GIFTS</v>
      </c>
      <c r="C120" s="11"/>
      <c r="D120" s="2"/>
      <c r="E120" s="2"/>
      <c r="F120" s="19">
        <f t="shared" si="20"/>
        <v>0</v>
      </c>
      <c r="G120" s="2"/>
      <c r="H120" s="2">
        <v>187.38</v>
      </c>
      <c r="I120" s="2"/>
      <c r="J120" s="19">
        <f t="shared" si="21"/>
        <v>1.5895506277261657E-4</v>
      </c>
      <c r="K120" s="2"/>
      <c r="L120" s="2">
        <f t="shared" si="22"/>
        <v>-187.38</v>
      </c>
      <c r="M120" s="2"/>
      <c r="N120" s="19">
        <f t="shared" si="23"/>
        <v>-1</v>
      </c>
      <c r="O120" s="11"/>
      <c r="P120" s="2">
        <v>0</v>
      </c>
      <c r="Q120" s="2"/>
      <c r="R120" s="19">
        <f t="shared" si="24"/>
        <v>0</v>
      </c>
      <c r="S120" s="2"/>
      <c r="T120" s="2">
        <v>383.93</v>
      </c>
      <c r="U120" s="2"/>
      <c r="V120" s="19">
        <f t="shared" si="25"/>
        <v>9.8950396931219684E-5</v>
      </c>
      <c r="W120" s="2"/>
      <c r="X120" s="2">
        <f t="shared" si="26"/>
        <v>-383.93</v>
      </c>
      <c r="Y120" s="2"/>
      <c r="Z120" s="19">
        <f t="shared" si="27"/>
        <v>-1</v>
      </c>
    </row>
    <row r="121" spans="1:26" s="24" customFormat="1" hidden="1" outlineLevel="1" x14ac:dyDescent="0.3">
      <c r="A121" s="44"/>
      <c r="B121" s="11" t="str">
        <f>CONCATENATE("          ", "5543", " - ", "FREIGHT-IN-CARDS")</f>
        <v xml:space="preserve">          5543 - FREIGHT-IN-CARDS</v>
      </c>
      <c r="C121" s="11"/>
      <c r="D121" s="2"/>
      <c r="E121" s="2"/>
      <c r="F121" s="19">
        <f t="shared" si="20"/>
        <v>0</v>
      </c>
      <c r="G121" s="2"/>
      <c r="H121" s="2">
        <v>1992.81</v>
      </c>
      <c r="I121" s="2"/>
      <c r="J121" s="19">
        <f t="shared" si="21"/>
        <v>1.6905071973737753E-3</v>
      </c>
      <c r="K121" s="2"/>
      <c r="L121" s="2">
        <f t="shared" si="22"/>
        <v>-1992.81</v>
      </c>
      <c r="M121" s="2"/>
      <c r="N121" s="19">
        <f t="shared" si="23"/>
        <v>-1</v>
      </c>
      <c r="O121" s="11"/>
      <c r="P121" s="2"/>
      <c r="Q121" s="2"/>
      <c r="R121" s="19">
        <f t="shared" si="24"/>
        <v>0</v>
      </c>
      <c r="S121" s="2"/>
      <c r="T121" s="2">
        <v>9110.5300000000007</v>
      </c>
      <c r="U121" s="2"/>
      <c r="V121" s="19">
        <f t="shared" si="25"/>
        <v>2.3480596977412155E-3</v>
      </c>
      <c r="W121" s="2"/>
      <c r="X121" s="2">
        <f t="shared" si="26"/>
        <v>-9110.5300000000007</v>
      </c>
      <c r="Y121" s="2"/>
      <c r="Z121" s="19">
        <f t="shared" si="27"/>
        <v>-1</v>
      </c>
    </row>
    <row r="122" spans="1:26" s="24" customFormat="1" hidden="1" outlineLevel="1" x14ac:dyDescent="0.3">
      <c r="A122" s="44"/>
      <c r="B122" s="11" t="str">
        <f>CONCATENATE("          ", "5544", " - ", "FREIGHT-IN-ACCESSORIES")</f>
        <v xml:space="preserve">          5544 - FREIGHT-IN-ACCESSORIES</v>
      </c>
      <c r="C122" s="11"/>
      <c r="D122" s="2"/>
      <c r="E122" s="2"/>
      <c r="F122" s="19">
        <f t="shared" si="20"/>
        <v>0</v>
      </c>
      <c r="G122" s="2"/>
      <c r="H122" s="2"/>
      <c r="I122" s="2"/>
      <c r="J122" s="19">
        <f t="shared" si="21"/>
        <v>0</v>
      </c>
      <c r="K122" s="2"/>
      <c r="L122" s="2">
        <f t="shared" si="22"/>
        <v>0</v>
      </c>
      <c r="M122" s="2"/>
      <c r="N122" s="19">
        <f t="shared" si="23"/>
        <v>0</v>
      </c>
      <c r="O122" s="11"/>
      <c r="P122" s="2">
        <v>0</v>
      </c>
      <c r="Q122" s="2"/>
      <c r="R122" s="19">
        <f t="shared" si="24"/>
        <v>0</v>
      </c>
      <c r="S122" s="2"/>
      <c r="T122" s="2"/>
      <c r="U122" s="2"/>
      <c r="V122" s="19">
        <f t="shared" si="25"/>
        <v>0</v>
      </c>
      <c r="W122" s="2"/>
      <c r="X122" s="2">
        <f t="shared" si="26"/>
        <v>0</v>
      </c>
      <c r="Y122" s="2"/>
      <c r="Z122" s="19">
        <f t="shared" si="27"/>
        <v>0</v>
      </c>
    </row>
    <row r="123" spans="1:26" s="24" customFormat="1" hidden="1" outlineLevel="1" x14ac:dyDescent="0.3">
      <c r="A123" s="44"/>
      <c r="B123" s="11" t="str">
        <f>CONCATENATE("          ", "5545", " - ", "FREIGHT-IN-SPECIAL ORDERS")</f>
        <v xml:space="preserve">          5545 - FREIGHT-IN-SPECIAL ORDERS</v>
      </c>
      <c r="C123" s="11"/>
      <c r="D123" s="2"/>
      <c r="E123" s="2"/>
      <c r="F123" s="19">
        <f t="shared" si="20"/>
        <v>0</v>
      </c>
      <c r="G123" s="2"/>
      <c r="H123" s="2"/>
      <c r="I123" s="2"/>
      <c r="J123" s="19">
        <f t="shared" si="21"/>
        <v>0</v>
      </c>
      <c r="K123" s="2"/>
      <c r="L123" s="2">
        <f t="shared" si="22"/>
        <v>0</v>
      </c>
      <c r="M123" s="2"/>
      <c r="N123" s="19">
        <f t="shared" si="23"/>
        <v>0</v>
      </c>
      <c r="O123" s="11"/>
      <c r="P123" s="2">
        <v>0</v>
      </c>
      <c r="Q123" s="2"/>
      <c r="R123" s="19">
        <f t="shared" si="24"/>
        <v>0</v>
      </c>
      <c r="S123" s="2"/>
      <c r="T123" s="2">
        <v>1113.79</v>
      </c>
      <c r="U123" s="2"/>
      <c r="V123" s="19">
        <f t="shared" si="25"/>
        <v>2.8705743911135666E-4</v>
      </c>
      <c r="W123" s="2"/>
      <c r="X123" s="2">
        <f t="shared" si="26"/>
        <v>-1113.79</v>
      </c>
      <c r="Y123" s="2"/>
      <c r="Z123" s="19">
        <f t="shared" si="27"/>
        <v>-1</v>
      </c>
    </row>
    <row r="124" spans="1:26" s="24" customFormat="1" hidden="1" outlineLevel="1" x14ac:dyDescent="0.3">
      <c r="A124" s="44"/>
      <c r="B124" s="11" t="str">
        <f>CONCATENATE("          ", "5592", " - ", "FREIGHT-IN-GRAD MERCH")</f>
        <v xml:space="preserve">          5592 - FREIGHT-IN-GRAD MERCH</v>
      </c>
      <c r="C124" s="11"/>
      <c r="D124" s="2"/>
      <c r="E124" s="2"/>
      <c r="F124" s="19">
        <f t="shared" si="20"/>
        <v>0</v>
      </c>
      <c r="G124" s="2"/>
      <c r="H124" s="2"/>
      <c r="I124" s="2"/>
      <c r="J124" s="19">
        <f t="shared" si="21"/>
        <v>0</v>
      </c>
      <c r="K124" s="2"/>
      <c r="L124" s="2">
        <f t="shared" si="22"/>
        <v>0</v>
      </c>
      <c r="M124" s="2"/>
      <c r="N124" s="19">
        <f t="shared" si="23"/>
        <v>0</v>
      </c>
      <c r="O124" s="11"/>
      <c r="P124" s="2"/>
      <c r="Q124" s="2"/>
      <c r="R124" s="19">
        <f t="shared" si="24"/>
        <v>0</v>
      </c>
      <c r="S124" s="2"/>
      <c r="T124" s="2">
        <v>0</v>
      </c>
      <c r="U124" s="2"/>
      <c r="V124" s="19">
        <f t="shared" si="25"/>
        <v>0</v>
      </c>
      <c r="W124" s="2"/>
      <c r="X124" s="2">
        <f t="shared" si="26"/>
        <v>0</v>
      </c>
      <c r="Y124" s="2"/>
      <c r="Z124" s="19">
        <f t="shared" si="27"/>
        <v>0</v>
      </c>
    </row>
    <row r="125" spans="1:26" x14ac:dyDescent="0.3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3">
      <c r="A126" s="10"/>
      <c r="B126" s="25" t="s">
        <v>107</v>
      </c>
      <c r="C126" s="25"/>
      <c r="D126" s="21">
        <f>D12-D82</f>
        <v>302945.49000000017</v>
      </c>
      <c r="E126" s="13"/>
      <c r="F126" s="22">
        <f>IF(D$12=0,0,D126/D$12)</f>
        <v>0.39840927190229891</v>
      </c>
      <c r="G126" s="13"/>
      <c r="H126" s="21">
        <f>H12-H82</f>
        <v>407488.1399999999</v>
      </c>
      <c r="I126" s="13"/>
      <c r="J126" s="22">
        <f>IF(H$12=0,0,H126/H$12)</f>
        <v>0.34567351303659277</v>
      </c>
      <c r="K126" s="15"/>
      <c r="L126" s="21">
        <f>+D126-H126</f>
        <v>-104542.64999999973</v>
      </c>
      <c r="M126" s="15"/>
      <c r="N126" s="22">
        <f>IF(H126=0,0,L126/H126)</f>
        <v>-0.25655384718681568</v>
      </c>
      <c r="O126" s="26"/>
      <c r="P126" s="21">
        <f>P12-P82</f>
        <v>1782103.7399999998</v>
      </c>
      <c r="Q126" s="13"/>
      <c r="R126" s="22">
        <f>IF(P$12=0,0,P126/P$12)</f>
        <v>0.39620570063949972</v>
      </c>
      <c r="S126" s="13"/>
      <c r="T126" s="21">
        <f>T12-T82</f>
        <v>1364933.129999999</v>
      </c>
      <c r="U126" s="13"/>
      <c r="V126" s="22">
        <f>IF(T$12=0,0,T126/T$12)</f>
        <v>0.35178463521494013</v>
      </c>
      <c r="W126" s="15"/>
      <c r="X126" s="21">
        <f>+P126-T126</f>
        <v>417170.6100000008</v>
      </c>
      <c r="Y126" s="15"/>
      <c r="Z126" s="22">
        <f>IF(T126=0,0,X126/T126)</f>
        <v>0.30563446723576937</v>
      </c>
    </row>
    <row r="127" spans="1:26" x14ac:dyDescent="0.3">
      <c r="A127" s="9"/>
      <c r="B127" s="10"/>
      <c r="C127" s="9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3">
      <c r="A128" s="10"/>
      <c r="B128" s="26" t="s">
        <v>294</v>
      </c>
      <c r="C128" s="10"/>
      <c r="D128" s="20">
        <f>SUM(OSRRefD22x_0)</f>
        <v>389267.99999999983</v>
      </c>
      <c r="E128" s="20"/>
      <c r="F128" s="30">
        <f t="shared" ref="F128:F139" si="28">IF(D$12=0,0,D128/D$12)</f>
        <v>0.51193361701758278</v>
      </c>
      <c r="G128" s="20"/>
      <c r="H128" s="20">
        <f>SUM(OSRRefH22x_0)</f>
        <v>314919.26000000013</v>
      </c>
      <c r="I128" s="20"/>
      <c r="J128" s="30">
        <f t="shared" ref="J128:J139" si="29">IF(H$12=0,0,H128/H$12)</f>
        <v>0.26714703138865398</v>
      </c>
      <c r="K128" s="4"/>
      <c r="L128" s="20">
        <f t="shared" ref="L128:L139" si="30">+D128-H128</f>
        <v>74348.7399999997</v>
      </c>
      <c r="M128" s="4"/>
      <c r="N128" s="30">
        <f t="shared" ref="N128:N139" si="31">IF(H128=0,0,L128/H128)</f>
        <v>0.23608825957484997</v>
      </c>
      <c r="O128" s="10"/>
      <c r="P128" s="20">
        <f>SUM(OSRRefP22x_0)</f>
        <v>2374797.7199999997</v>
      </c>
      <c r="Q128" s="20"/>
      <c r="R128" s="30">
        <f t="shared" ref="R128:R139" si="32">IF(P$12=0,0,P128/P$12)</f>
        <v>0.52797621901050862</v>
      </c>
      <c r="S128" s="20"/>
      <c r="T128" s="20">
        <f>SUM(OSRRefT22x_0)</f>
        <v>2094355.3299999998</v>
      </c>
      <c r="U128" s="20"/>
      <c r="V128" s="30">
        <f t="shared" ref="V128:V139" si="33">IF(T$12=0,0,T128/T$12)</f>
        <v>0.53977884306648494</v>
      </c>
      <c r="W128" s="4"/>
      <c r="X128" s="20">
        <f t="shared" ref="X128:X139" si="34">+P128-T128</f>
        <v>280442.3899999999</v>
      </c>
      <c r="Y128" s="4"/>
      <c r="Z128" s="30">
        <f t="shared" ref="Z128:Z139" si="35">IF(T128=0,0,X128/T128)</f>
        <v>0.13390392068761317</v>
      </c>
    </row>
    <row r="129" spans="1:26" s="29" customFormat="1" outlineLevel="1" collapsed="1" x14ac:dyDescent="0.3">
      <c r="A129" s="28"/>
      <c r="B129" s="14" t="str">
        <f>CONCATENATE("     ","*Benefits                                         ")</f>
        <v xml:space="preserve">     *Benefits                                         </v>
      </c>
      <c r="C129" s="14"/>
      <c r="D129" s="1">
        <f>SUM(OSRRefD22_0x_0)</f>
        <v>64428.79</v>
      </c>
      <c r="E129" s="1"/>
      <c r="F129" s="5">
        <f t="shared" si="28"/>
        <v>8.4731505042197869E-2</v>
      </c>
      <c r="G129" s="1"/>
      <c r="H129" s="1">
        <f>SUM(OSRRefH22_0x_0)</f>
        <v>51590.869999999995</v>
      </c>
      <c r="I129" s="1"/>
      <c r="J129" s="5">
        <f t="shared" si="29"/>
        <v>4.3764702632852495E-2</v>
      </c>
      <c r="K129" s="1"/>
      <c r="L129" s="1">
        <f t="shared" si="30"/>
        <v>12837.920000000006</v>
      </c>
      <c r="M129" s="1"/>
      <c r="N129" s="5">
        <f t="shared" si="31"/>
        <v>0.24884092863717955</v>
      </c>
      <c r="O129" s="14"/>
      <c r="P129" s="1">
        <f>SUM(OSRRefP22_0x_0)</f>
        <v>368397.76</v>
      </c>
      <c r="Q129" s="1"/>
      <c r="R129" s="5">
        <f t="shared" si="32"/>
        <v>8.1903925870680391E-2</v>
      </c>
      <c r="S129" s="1"/>
      <c r="T129" s="1">
        <f>SUM(OSRRefT22_0x_0)</f>
        <v>354480.73</v>
      </c>
      <c r="U129" s="1"/>
      <c r="V129" s="5">
        <f t="shared" si="33"/>
        <v>9.1360427520559756E-2</v>
      </c>
      <c r="W129" s="1"/>
      <c r="X129" s="1">
        <f t="shared" si="34"/>
        <v>13917.030000000028</v>
      </c>
      <c r="Y129" s="1"/>
      <c r="Z129" s="5">
        <f t="shared" si="35"/>
        <v>3.9260328763146106E-2</v>
      </c>
    </row>
    <row r="130" spans="1:26" s="24" customFormat="1" hidden="1" outlineLevel="2" x14ac:dyDescent="0.3">
      <c r="A130" s="27"/>
      <c r="B130" s="11" t="str">
        <f>CONCATENATE("          ", "6111", " - ", "F.I.C.A.")</f>
        <v xml:space="preserve">          6111 - F.I.C.A.</v>
      </c>
      <c r="C130" s="11"/>
      <c r="D130" s="7">
        <v>7922.8</v>
      </c>
      <c r="E130" s="2"/>
      <c r="F130" s="6">
        <f t="shared" si="28"/>
        <v>1.0419422251268809E-2</v>
      </c>
      <c r="G130" s="2"/>
      <c r="H130" s="7">
        <v>7931.47</v>
      </c>
      <c r="I130" s="2"/>
      <c r="J130" s="6">
        <f t="shared" si="29"/>
        <v>6.7282917692876787E-3</v>
      </c>
      <c r="K130" s="2"/>
      <c r="L130" s="7">
        <f t="shared" si="30"/>
        <v>-8.6700000000000728</v>
      </c>
      <c r="M130" s="2"/>
      <c r="N130" s="6">
        <f t="shared" si="31"/>
        <v>-1.093113886833093E-3</v>
      </c>
      <c r="O130" s="11"/>
      <c r="P130" s="7">
        <v>65085.85</v>
      </c>
      <c r="Q130" s="2"/>
      <c r="R130" s="6">
        <f t="shared" si="32"/>
        <v>1.4470192852503292E-2</v>
      </c>
      <c r="S130" s="2"/>
      <c r="T130" s="7">
        <v>67358.39</v>
      </c>
      <c r="U130" s="2"/>
      <c r="V130" s="6">
        <f t="shared" si="33"/>
        <v>1.7360298562623128E-2</v>
      </c>
      <c r="W130" s="2"/>
      <c r="X130" s="7">
        <f t="shared" si="34"/>
        <v>-2272.5400000000009</v>
      </c>
      <c r="Y130" s="2"/>
      <c r="Z130" s="6">
        <f t="shared" si="35"/>
        <v>-3.3738039166316194E-2</v>
      </c>
    </row>
    <row r="131" spans="1:26" s="24" customFormat="1" hidden="1" outlineLevel="2" x14ac:dyDescent="0.3">
      <c r="A131" s="27"/>
      <c r="B131" s="11" t="str">
        <f>CONCATENATE("          ", "6112", " - ", "COMPENSATION INSURANCE")</f>
        <v xml:space="preserve">          6112 - COMPENSATION INSURANCE</v>
      </c>
      <c r="C131" s="11"/>
      <c r="D131" s="7">
        <v>2521.08</v>
      </c>
      <c r="E131" s="2"/>
      <c r="F131" s="6">
        <f t="shared" si="28"/>
        <v>3.3155193932989306E-3</v>
      </c>
      <c r="G131" s="2"/>
      <c r="H131" s="7">
        <v>804.16</v>
      </c>
      <c r="I131" s="2"/>
      <c r="J131" s="6">
        <f t="shared" si="29"/>
        <v>6.8217154060853523E-4</v>
      </c>
      <c r="K131" s="2"/>
      <c r="L131" s="7">
        <f t="shared" si="30"/>
        <v>1716.92</v>
      </c>
      <c r="M131" s="2"/>
      <c r="N131" s="6">
        <f t="shared" si="31"/>
        <v>2.1350477516912059</v>
      </c>
      <c r="O131" s="11"/>
      <c r="P131" s="7">
        <v>17824.04</v>
      </c>
      <c r="Q131" s="2"/>
      <c r="R131" s="6">
        <f t="shared" si="32"/>
        <v>3.9627245585750637E-3</v>
      </c>
      <c r="S131" s="2"/>
      <c r="T131" s="7">
        <v>17320.240000000002</v>
      </c>
      <c r="U131" s="2"/>
      <c r="V131" s="6">
        <f t="shared" si="33"/>
        <v>4.4639507799442302E-3</v>
      </c>
      <c r="W131" s="2"/>
      <c r="X131" s="7">
        <f t="shared" si="34"/>
        <v>503.79999999999927</v>
      </c>
      <c r="Y131" s="2"/>
      <c r="Z131" s="6">
        <f t="shared" si="35"/>
        <v>2.9087356757181149E-2</v>
      </c>
    </row>
    <row r="132" spans="1:26" s="24" customFormat="1" hidden="1" outlineLevel="2" x14ac:dyDescent="0.3">
      <c r="A132" s="27"/>
      <c r="B132" s="11" t="str">
        <f>CONCATENATE("          ", "6113", " - ", "GROUP INSURANCE")</f>
        <v xml:space="preserve">          6113 - GROUP INSURANCE</v>
      </c>
      <c r="C132" s="11"/>
      <c r="D132" s="7">
        <v>18089.939999999999</v>
      </c>
      <c r="E132" s="2"/>
      <c r="F132" s="6">
        <f t="shared" si="28"/>
        <v>2.3790417953263702E-2</v>
      </c>
      <c r="G132" s="2"/>
      <c r="H132" s="7">
        <v>21620.29</v>
      </c>
      <c r="I132" s="2"/>
      <c r="J132" s="6">
        <f t="shared" si="29"/>
        <v>1.8340562248437262E-2</v>
      </c>
      <c r="K132" s="2"/>
      <c r="L132" s="7">
        <f t="shared" si="30"/>
        <v>-3530.3500000000022</v>
      </c>
      <c r="M132" s="2"/>
      <c r="N132" s="6">
        <f t="shared" si="31"/>
        <v>-0.16328874404552399</v>
      </c>
      <c r="O132" s="11"/>
      <c r="P132" s="7">
        <v>124930.79</v>
      </c>
      <c r="Q132" s="2"/>
      <c r="R132" s="6">
        <f t="shared" si="32"/>
        <v>2.7775201898962518E-2</v>
      </c>
      <c r="S132" s="2"/>
      <c r="T132" s="7">
        <v>128085.71</v>
      </c>
      <c r="U132" s="2"/>
      <c r="V132" s="6">
        <f t="shared" si="33"/>
        <v>3.3011569415562977E-2</v>
      </c>
      <c r="W132" s="2"/>
      <c r="X132" s="7">
        <f t="shared" si="34"/>
        <v>-3154.9200000000128</v>
      </c>
      <c r="Y132" s="2"/>
      <c r="Z132" s="6">
        <f t="shared" si="35"/>
        <v>-2.4631319137786819E-2</v>
      </c>
    </row>
    <row r="133" spans="1:26" s="24" customFormat="1" hidden="1" outlineLevel="2" x14ac:dyDescent="0.3">
      <c r="A133" s="27"/>
      <c r="B133" s="11" t="str">
        <f>CONCATENATE("          ", "6114", " - ", "STATE UNEMPLOYMENT INSURANCE")</f>
        <v xml:space="preserve">          6114 - STATE UNEMPLOYMENT INSURANCE</v>
      </c>
      <c r="C133" s="11"/>
      <c r="D133" s="7">
        <v>434.13</v>
      </c>
      <c r="E133" s="2"/>
      <c r="F133" s="6">
        <f t="shared" si="28"/>
        <v>5.7093247108892407E-4</v>
      </c>
      <c r="G133" s="2"/>
      <c r="H133" s="7">
        <v>667.99</v>
      </c>
      <c r="I133" s="2"/>
      <c r="J133" s="6">
        <f t="shared" si="29"/>
        <v>5.6665808721037536E-4</v>
      </c>
      <c r="K133" s="2"/>
      <c r="L133" s="7">
        <f t="shared" si="30"/>
        <v>-233.86</v>
      </c>
      <c r="M133" s="2"/>
      <c r="N133" s="6">
        <f t="shared" si="31"/>
        <v>-0.35009506130331292</v>
      </c>
      <c r="O133" s="11"/>
      <c r="P133" s="7">
        <v>3190.3</v>
      </c>
      <c r="Q133" s="2"/>
      <c r="R133" s="6">
        <f t="shared" si="32"/>
        <v>7.0928252849645904E-4</v>
      </c>
      <c r="S133" s="2"/>
      <c r="T133" s="7">
        <v>2748.41</v>
      </c>
      <c r="U133" s="2"/>
      <c r="V133" s="6">
        <f t="shared" si="33"/>
        <v>7.0834855424096435E-4</v>
      </c>
      <c r="W133" s="2"/>
      <c r="X133" s="7">
        <f t="shared" si="34"/>
        <v>441.89000000000033</v>
      </c>
      <c r="Y133" s="2"/>
      <c r="Z133" s="6">
        <f t="shared" si="35"/>
        <v>0.16078023293467872</v>
      </c>
    </row>
    <row r="134" spans="1:26" s="24" customFormat="1" hidden="1" outlineLevel="2" x14ac:dyDescent="0.3">
      <c r="A134" s="27"/>
      <c r="B134" s="11" t="str">
        <f>CONCATENATE("          ", "6115", " - ", "P.E.R.S.")</f>
        <v xml:space="preserve">          6115 - P.E.R.S.</v>
      </c>
      <c r="C134" s="11"/>
      <c r="D134" s="7">
        <v>6275.91</v>
      </c>
      <c r="E134" s="2"/>
      <c r="F134" s="6">
        <f t="shared" si="28"/>
        <v>8.2535664539001904E-3</v>
      </c>
      <c r="G134" s="2"/>
      <c r="H134" s="7">
        <v>9507.2199999999993</v>
      </c>
      <c r="I134" s="2"/>
      <c r="J134" s="6">
        <f t="shared" si="29"/>
        <v>8.0650056136891638E-3</v>
      </c>
      <c r="K134" s="2"/>
      <c r="L134" s="7">
        <f t="shared" si="30"/>
        <v>-3231.3099999999995</v>
      </c>
      <c r="M134" s="2"/>
      <c r="N134" s="6">
        <f t="shared" si="31"/>
        <v>-0.33987958625129111</v>
      </c>
      <c r="O134" s="11"/>
      <c r="P134" s="7">
        <v>48883.73</v>
      </c>
      <c r="Q134" s="2"/>
      <c r="R134" s="6">
        <f t="shared" si="32"/>
        <v>1.0868061190715044E-2</v>
      </c>
      <c r="S134" s="2"/>
      <c r="T134" s="7">
        <v>55050.76</v>
      </c>
      <c r="U134" s="2"/>
      <c r="V134" s="6">
        <f t="shared" si="33"/>
        <v>1.4188249299000628E-2</v>
      </c>
      <c r="W134" s="2"/>
      <c r="X134" s="7">
        <f t="shared" si="34"/>
        <v>-6167.0299999999988</v>
      </c>
      <c r="Y134" s="2"/>
      <c r="Z134" s="6">
        <f t="shared" si="35"/>
        <v>-0.11202442981713602</v>
      </c>
    </row>
    <row r="135" spans="1:26" s="24" customFormat="1" hidden="1" outlineLevel="2" x14ac:dyDescent="0.3">
      <c r="A135" s="27"/>
      <c r="B135" s="11" t="str">
        <f>CONCATENATE("          ", "6116", " - ", "EDUCATIONAL BENEFITS")</f>
        <v xml:space="preserve">          6116 - EDUCATIONAL BENEFITS</v>
      </c>
      <c r="C135" s="11"/>
      <c r="D135" s="7"/>
      <c r="E135" s="2"/>
      <c r="F135" s="6">
        <f t="shared" si="28"/>
        <v>0</v>
      </c>
      <c r="G135" s="2"/>
      <c r="H135" s="7"/>
      <c r="I135" s="2"/>
      <c r="J135" s="6">
        <f t="shared" si="29"/>
        <v>0</v>
      </c>
      <c r="K135" s="2"/>
      <c r="L135" s="7">
        <f t="shared" si="30"/>
        <v>0</v>
      </c>
      <c r="M135" s="2"/>
      <c r="N135" s="6">
        <f t="shared" si="31"/>
        <v>0</v>
      </c>
      <c r="O135" s="11"/>
      <c r="P135" s="7"/>
      <c r="Q135" s="2"/>
      <c r="R135" s="6">
        <f t="shared" si="32"/>
        <v>0</v>
      </c>
      <c r="S135" s="2"/>
      <c r="T135" s="7">
        <v>0</v>
      </c>
      <c r="U135" s="2"/>
      <c r="V135" s="6">
        <f t="shared" si="33"/>
        <v>0</v>
      </c>
      <c r="W135" s="2"/>
      <c r="X135" s="7">
        <f t="shared" si="34"/>
        <v>0</v>
      </c>
      <c r="Y135" s="2"/>
      <c r="Z135" s="6">
        <f t="shared" si="35"/>
        <v>0</v>
      </c>
    </row>
    <row r="136" spans="1:26" s="24" customFormat="1" hidden="1" outlineLevel="2" x14ac:dyDescent="0.3">
      <c r="A136" s="27"/>
      <c r="B136" s="11" t="str">
        <f>CONCATENATE("          ", "6117", " - ", "RETIREMENT STAFF HOURLY")</f>
        <v xml:space="preserve">          6117 - RETIREMENT STAFF HOURLY</v>
      </c>
      <c r="C136" s="11"/>
      <c r="D136" s="7">
        <v>1180.31</v>
      </c>
      <c r="E136" s="2"/>
      <c r="F136" s="6">
        <f t="shared" si="28"/>
        <v>1.5522477252227858E-3</v>
      </c>
      <c r="G136" s="2"/>
      <c r="H136" s="7">
        <v>506.92</v>
      </c>
      <c r="I136" s="2"/>
      <c r="J136" s="6">
        <f t="shared" si="29"/>
        <v>4.3002188291543813E-4</v>
      </c>
      <c r="K136" s="2"/>
      <c r="L136" s="7">
        <f t="shared" si="30"/>
        <v>673.38999999999987</v>
      </c>
      <c r="M136" s="2"/>
      <c r="N136" s="6">
        <f t="shared" si="31"/>
        <v>1.3283950130198057</v>
      </c>
      <c r="O136" s="11"/>
      <c r="P136" s="7">
        <v>4874.72</v>
      </c>
      <c r="Q136" s="2"/>
      <c r="R136" s="6">
        <f t="shared" si="32"/>
        <v>1.0837707197794122E-3</v>
      </c>
      <c r="S136" s="2"/>
      <c r="T136" s="7">
        <v>2241.04</v>
      </c>
      <c r="U136" s="2"/>
      <c r="V136" s="6">
        <f t="shared" si="33"/>
        <v>5.775839281607078E-4</v>
      </c>
      <c r="W136" s="2"/>
      <c r="X136" s="7">
        <f t="shared" si="34"/>
        <v>2633.6800000000003</v>
      </c>
      <c r="Y136" s="2"/>
      <c r="Z136" s="6">
        <f t="shared" si="35"/>
        <v>1.1752043693999217</v>
      </c>
    </row>
    <row r="137" spans="1:26" s="24" customFormat="1" hidden="1" outlineLevel="2" x14ac:dyDescent="0.3">
      <c r="A137" s="27"/>
      <c r="B137" s="11" t="str">
        <f>CONCATENATE("          ", "6118", " - ", "VACATION")</f>
        <v xml:space="preserve">          6118 - VACATION</v>
      </c>
      <c r="C137" s="11"/>
      <c r="D137" s="7">
        <v>10202.14</v>
      </c>
      <c r="E137" s="2"/>
      <c r="F137" s="6">
        <f t="shared" si="28"/>
        <v>1.341702485567723E-2</v>
      </c>
      <c r="G137" s="2"/>
      <c r="H137" s="7">
        <v>5779.06</v>
      </c>
      <c r="I137" s="2"/>
      <c r="J137" s="6">
        <f t="shared" si="29"/>
        <v>4.9023953733947998E-3</v>
      </c>
      <c r="K137" s="2"/>
      <c r="L137" s="7">
        <f t="shared" si="30"/>
        <v>4423.079999999999</v>
      </c>
      <c r="M137" s="2"/>
      <c r="N137" s="6">
        <f t="shared" si="31"/>
        <v>0.76536322516118516</v>
      </c>
      <c r="O137" s="11"/>
      <c r="P137" s="7">
        <v>44740.52</v>
      </c>
      <c r="Q137" s="2"/>
      <c r="R137" s="6">
        <f t="shared" si="32"/>
        <v>9.9469232209655496E-3</v>
      </c>
      <c r="S137" s="2"/>
      <c r="T137" s="7">
        <v>41451.31</v>
      </c>
      <c r="U137" s="2"/>
      <c r="V137" s="6">
        <f t="shared" si="33"/>
        <v>1.0683258869635181E-2</v>
      </c>
      <c r="W137" s="2"/>
      <c r="X137" s="7">
        <f t="shared" si="34"/>
        <v>3289.2099999999991</v>
      </c>
      <c r="Y137" s="2"/>
      <c r="Z137" s="6">
        <f t="shared" si="35"/>
        <v>7.9351171289882019E-2</v>
      </c>
    </row>
    <row r="138" spans="1:26" s="24" customFormat="1" hidden="1" outlineLevel="2" x14ac:dyDescent="0.3">
      <c r="A138" s="27"/>
      <c r="B138" s="11" t="str">
        <f>CONCATENATE("          ", "6119", " - ", "SICK LEAVE")</f>
        <v xml:space="preserve">          6119 - SICK LEAVE</v>
      </c>
      <c r="C138" s="11"/>
      <c r="D138" s="7">
        <v>14493.19</v>
      </c>
      <c r="E138" s="2"/>
      <c r="F138" s="6">
        <f t="shared" si="28"/>
        <v>1.9060264853065403E-2</v>
      </c>
      <c r="G138" s="2"/>
      <c r="H138" s="7">
        <v>3939.34</v>
      </c>
      <c r="I138" s="2"/>
      <c r="J138" s="6">
        <f t="shared" si="29"/>
        <v>3.3417549203900061E-3</v>
      </c>
      <c r="K138" s="2"/>
      <c r="L138" s="7">
        <f t="shared" si="30"/>
        <v>10553.85</v>
      </c>
      <c r="M138" s="2"/>
      <c r="N138" s="6">
        <f t="shared" si="31"/>
        <v>2.6790909137063568</v>
      </c>
      <c r="O138" s="11"/>
      <c r="P138" s="7">
        <v>39566.699999999997</v>
      </c>
      <c r="Q138" s="2"/>
      <c r="R138" s="6">
        <f t="shared" si="32"/>
        <v>8.7966551798454185E-3</v>
      </c>
      <c r="S138" s="2"/>
      <c r="T138" s="7">
        <v>29767.63</v>
      </c>
      <c r="U138" s="2"/>
      <c r="V138" s="6">
        <f t="shared" si="33"/>
        <v>7.6720204313330109E-3</v>
      </c>
      <c r="W138" s="2"/>
      <c r="X138" s="7">
        <f t="shared" si="34"/>
        <v>9799.0699999999961</v>
      </c>
      <c r="Y138" s="2"/>
      <c r="Z138" s="6">
        <f t="shared" si="35"/>
        <v>0.32918542725772915</v>
      </c>
    </row>
    <row r="139" spans="1:26" s="24" customFormat="1" hidden="1" outlineLevel="2" x14ac:dyDescent="0.3">
      <c r="A139" s="27"/>
      <c r="B139" s="11" t="str">
        <f>CONCATENATE("          ", "6156", " - ", "EMPLOYEE MEALS")</f>
        <v xml:space="preserve">          6156 - EMPLOYEE MEALS</v>
      </c>
      <c r="C139" s="11"/>
      <c r="D139" s="7">
        <v>3309.29</v>
      </c>
      <c r="E139" s="2"/>
      <c r="F139" s="6">
        <f t="shared" si="28"/>
        <v>4.3521090854118944E-3</v>
      </c>
      <c r="G139" s="2"/>
      <c r="H139" s="7">
        <v>834.42</v>
      </c>
      <c r="I139" s="2"/>
      <c r="J139" s="6">
        <f t="shared" si="29"/>
        <v>7.0784119691923739E-4</v>
      </c>
      <c r="K139" s="2"/>
      <c r="L139" s="7">
        <f t="shared" si="30"/>
        <v>2474.87</v>
      </c>
      <c r="M139" s="2"/>
      <c r="N139" s="6">
        <f t="shared" si="31"/>
        <v>2.96597636681767</v>
      </c>
      <c r="O139" s="11"/>
      <c r="P139" s="7">
        <v>19301.11</v>
      </c>
      <c r="Q139" s="2"/>
      <c r="R139" s="6">
        <f t="shared" si="32"/>
        <v>4.2911137208376292E-3</v>
      </c>
      <c r="S139" s="2"/>
      <c r="T139" s="7">
        <v>10457.24</v>
      </c>
      <c r="U139" s="2"/>
      <c r="V139" s="6">
        <f t="shared" si="33"/>
        <v>2.6951476800589368E-3</v>
      </c>
      <c r="W139" s="2"/>
      <c r="X139" s="7">
        <f t="shared" si="34"/>
        <v>8843.8700000000008</v>
      </c>
      <c r="Y139" s="2"/>
      <c r="Z139" s="6">
        <f t="shared" si="35"/>
        <v>0.84571741683273993</v>
      </c>
    </row>
    <row r="140" spans="1:26" s="29" customFormat="1" outlineLevel="1" collapsed="1" x14ac:dyDescent="0.3">
      <c r="A140" s="28"/>
      <c r="B140" s="14" t="str">
        <f>CONCATENATE("     ","*Payroll                                          ")</f>
        <v xml:space="preserve">     *Payroll                                          </v>
      </c>
      <c r="C140" s="14"/>
      <c r="D140" s="1">
        <f>SUM(OSRRefD22_1x_0)</f>
        <v>207744.45</v>
      </c>
      <c r="E140" s="1"/>
      <c r="F140" s="5">
        <f t="shared" ref="F140:F147" si="36">IF(D$12=0,0,D140/D$12)</f>
        <v>0.27320860616292225</v>
      </c>
      <c r="G140" s="1"/>
      <c r="H140" s="1">
        <f>SUM(OSRRefH22_1x_0)</f>
        <v>164815.32</v>
      </c>
      <c r="I140" s="1"/>
      <c r="J140" s="5">
        <f t="shared" ref="J140:J147" si="37">IF(H$12=0,0,H140/H$12)</f>
        <v>0.13981337141898223</v>
      </c>
      <c r="K140" s="1"/>
      <c r="L140" s="1">
        <f t="shared" ref="L140:L147" si="38">+D140-H140</f>
        <v>42929.130000000005</v>
      </c>
      <c r="M140" s="1"/>
      <c r="N140" s="5">
        <f t="shared" ref="N140:N147" si="39">IF(H140=0,0,L140/H140)</f>
        <v>0.26046808027312024</v>
      </c>
      <c r="O140" s="14"/>
      <c r="P140" s="1">
        <f>SUM(OSRRefP22_1x_0)</f>
        <v>1187511.9099999999</v>
      </c>
      <c r="Q140" s="1"/>
      <c r="R140" s="5">
        <f t="shared" ref="R140:R147" si="40">IF(P$12=0,0,P140/P$12)</f>
        <v>0.26401324331393894</v>
      </c>
      <c r="S140" s="1"/>
      <c r="T140" s="1">
        <f>SUM(OSRRefT22_1x_0)</f>
        <v>936998.2</v>
      </c>
      <c r="U140" s="1"/>
      <c r="V140" s="5">
        <f t="shared" ref="V140:V147" si="41">IF(T$12=0,0,T140/T$12)</f>
        <v>0.24149283414642866</v>
      </c>
      <c r="W140" s="1"/>
      <c r="X140" s="1">
        <f t="shared" ref="X140:X147" si="42">+P140-T140</f>
        <v>250513.70999999996</v>
      </c>
      <c r="Y140" s="1"/>
      <c r="Z140" s="5">
        <f t="shared" ref="Z140:Z147" si="43">IF(T140=0,0,X140/T140)</f>
        <v>0.26735772811516606</v>
      </c>
    </row>
    <row r="141" spans="1:26" s="24" customFormat="1" hidden="1" outlineLevel="2" x14ac:dyDescent="0.3">
      <c r="A141" s="27"/>
      <c r="B141" s="11" t="str">
        <f>CONCATENATE("          ", "6001", " - ", "ADMINISTRATIVE SALARIES")</f>
        <v xml:space="preserve">          6001 - ADMINISTRATIVE SALARIES</v>
      </c>
      <c r="C141" s="11"/>
      <c r="D141" s="7">
        <v>5357.43</v>
      </c>
      <c r="E141" s="2"/>
      <c r="F141" s="6">
        <f t="shared" si="36"/>
        <v>7.0456562517815739E-3</v>
      </c>
      <c r="G141" s="2"/>
      <c r="H141" s="7">
        <v>5332.74</v>
      </c>
      <c r="I141" s="2"/>
      <c r="J141" s="6">
        <f t="shared" si="37"/>
        <v>4.5237806673606743E-3</v>
      </c>
      <c r="K141" s="2"/>
      <c r="L141" s="7">
        <f t="shared" si="38"/>
        <v>24.690000000000509</v>
      </c>
      <c r="M141" s="2"/>
      <c r="N141" s="6">
        <f t="shared" si="39"/>
        <v>4.6298900752709694E-3</v>
      </c>
      <c r="O141" s="11"/>
      <c r="P141" s="7">
        <v>33692.199999999997</v>
      </c>
      <c r="Q141" s="2"/>
      <c r="R141" s="6">
        <f t="shared" si="40"/>
        <v>7.4906086595644275E-3</v>
      </c>
      <c r="S141" s="2"/>
      <c r="T141" s="7">
        <v>30215.85</v>
      </c>
      <c r="U141" s="2"/>
      <c r="V141" s="6">
        <f t="shared" si="41"/>
        <v>7.7875403097288414E-3</v>
      </c>
      <c r="W141" s="2"/>
      <c r="X141" s="7">
        <f t="shared" si="42"/>
        <v>3476.3499999999985</v>
      </c>
      <c r="Y141" s="2"/>
      <c r="Z141" s="6">
        <f t="shared" si="43"/>
        <v>0.11505054466447241</v>
      </c>
    </row>
    <row r="142" spans="1:26" s="24" customFormat="1" hidden="1" outlineLevel="2" x14ac:dyDescent="0.3">
      <c r="A142" s="27"/>
      <c r="B142" s="11" t="str">
        <f>CONCATENATE("          ", "6002", " - ", "STAFF SALARIES")</f>
        <v xml:space="preserve">          6002 - STAFF SALARIES</v>
      </c>
      <c r="C142" s="11"/>
      <c r="D142" s="7">
        <v>69435.7</v>
      </c>
      <c r="E142" s="2"/>
      <c r="F142" s="6">
        <f t="shared" si="36"/>
        <v>9.1316185895444227E-2</v>
      </c>
      <c r="G142" s="2"/>
      <c r="H142" s="7">
        <v>79241.259999999995</v>
      </c>
      <c r="I142" s="2"/>
      <c r="J142" s="6">
        <f t="shared" si="37"/>
        <v>6.7220618302280016E-2</v>
      </c>
      <c r="K142" s="2"/>
      <c r="L142" s="7">
        <f t="shared" si="38"/>
        <v>-9805.5599999999977</v>
      </c>
      <c r="M142" s="2"/>
      <c r="N142" s="6">
        <f t="shared" si="39"/>
        <v>-0.1237431105966765</v>
      </c>
      <c r="O142" s="11"/>
      <c r="P142" s="7">
        <v>411074.77</v>
      </c>
      <c r="Q142" s="2"/>
      <c r="R142" s="6">
        <f t="shared" si="40"/>
        <v>9.1392079825314332E-2</v>
      </c>
      <c r="S142" s="2"/>
      <c r="T142" s="7">
        <v>454581.87</v>
      </c>
      <c r="U142" s="2"/>
      <c r="V142" s="6">
        <f t="shared" si="41"/>
        <v>0.11715952510675411</v>
      </c>
      <c r="W142" s="2"/>
      <c r="X142" s="7">
        <f t="shared" si="42"/>
        <v>-43507.099999999977</v>
      </c>
      <c r="Y142" s="2"/>
      <c r="Z142" s="6">
        <f t="shared" si="43"/>
        <v>-9.5707952453097128E-2</v>
      </c>
    </row>
    <row r="143" spans="1:26" s="24" customFormat="1" hidden="1" outlineLevel="2" x14ac:dyDescent="0.3">
      <c r="A143" s="27"/>
      <c r="B143" s="11" t="str">
        <f>CONCATENATE("          ", "6004", " - ", "STAFF HOURLY")</f>
        <v xml:space="preserve">          6004 - STAFF HOURLY</v>
      </c>
      <c r="C143" s="11"/>
      <c r="D143" s="7">
        <v>25339</v>
      </c>
      <c r="E143" s="2"/>
      <c r="F143" s="6">
        <f t="shared" si="36"/>
        <v>3.3323792147334316E-2</v>
      </c>
      <c r="G143" s="2"/>
      <c r="H143" s="7">
        <v>18984.73</v>
      </c>
      <c r="I143" s="2"/>
      <c r="J143" s="6">
        <f t="shared" si="37"/>
        <v>1.6104808137854504E-2</v>
      </c>
      <c r="K143" s="2"/>
      <c r="L143" s="7">
        <f t="shared" si="38"/>
        <v>6354.27</v>
      </c>
      <c r="M143" s="2"/>
      <c r="N143" s="6">
        <f t="shared" si="39"/>
        <v>0.33470425968660078</v>
      </c>
      <c r="O143" s="11"/>
      <c r="P143" s="7">
        <v>161352.17000000001</v>
      </c>
      <c r="Q143" s="2"/>
      <c r="R143" s="6">
        <f t="shared" si="40"/>
        <v>3.5872574715854463E-2</v>
      </c>
      <c r="S143" s="2"/>
      <c r="T143" s="7">
        <v>110021.64</v>
      </c>
      <c r="U143" s="2"/>
      <c r="V143" s="6">
        <f t="shared" si="41"/>
        <v>2.8355911101043827E-2</v>
      </c>
      <c r="W143" s="2"/>
      <c r="X143" s="7">
        <f t="shared" si="42"/>
        <v>51330.530000000013</v>
      </c>
      <c r="Y143" s="2"/>
      <c r="Z143" s="6">
        <f t="shared" si="43"/>
        <v>0.46654939882735807</v>
      </c>
    </row>
    <row r="144" spans="1:26" s="24" customFormat="1" hidden="1" outlineLevel="2" x14ac:dyDescent="0.3">
      <c r="A144" s="27"/>
      <c r="B144" s="11" t="str">
        <f>CONCATENATE("          ", "6005", " - ", "TEMPORARY WAGES-HOURLY")</f>
        <v xml:space="preserve">          6005 - TEMPORARY WAGES-HOURLY</v>
      </c>
      <c r="C144" s="11"/>
      <c r="D144" s="7">
        <v>7974.09</v>
      </c>
      <c r="E144" s="2"/>
      <c r="F144" s="6">
        <f t="shared" si="36"/>
        <v>1.0486874688193579E-2</v>
      </c>
      <c r="G144" s="2"/>
      <c r="H144" s="7">
        <v>12550.77</v>
      </c>
      <c r="I144" s="2"/>
      <c r="J144" s="6">
        <f t="shared" si="37"/>
        <v>1.0646858966776992E-2</v>
      </c>
      <c r="K144" s="2"/>
      <c r="L144" s="7">
        <f t="shared" si="38"/>
        <v>-4576.68</v>
      </c>
      <c r="M144" s="2"/>
      <c r="N144" s="6">
        <f t="shared" si="39"/>
        <v>-0.36465332405900197</v>
      </c>
      <c r="O144" s="11"/>
      <c r="P144" s="7">
        <v>74026.48</v>
      </c>
      <c r="Q144" s="2"/>
      <c r="R144" s="6">
        <f t="shared" si="40"/>
        <v>1.6457915841799377E-2</v>
      </c>
      <c r="S144" s="2"/>
      <c r="T144" s="7">
        <v>112326.18</v>
      </c>
      <c r="U144" s="2"/>
      <c r="V144" s="6">
        <f t="shared" si="41"/>
        <v>2.8949860903726275E-2</v>
      </c>
      <c r="W144" s="2"/>
      <c r="X144" s="7">
        <f t="shared" si="42"/>
        <v>-38299.699999999997</v>
      </c>
      <c r="Y144" s="2"/>
      <c r="Z144" s="6">
        <f t="shared" si="43"/>
        <v>-0.34096859699136922</v>
      </c>
    </row>
    <row r="145" spans="1:26" s="24" customFormat="1" hidden="1" outlineLevel="2" x14ac:dyDescent="0.3">
      <c r="A145" s="27"/>
      <c r="B145" s="11" t="str">
        <f>CONCATENATE("          ", "6006", " - ", "TEMPORARY PART TIME")</f>
        <v xml:space="preserve">          6006 - TEMPORARY PART TIME</v>
      </c>
      <c r="C145" s="11"/>
      <c r="D145" s="7">
        <v>2092.35</v>
      </c>
      <c r="E145" s="2"/>
      <c r="F145" s="6">
        <f t="shared" si="36"/>
        <v>2.7516885630638525E-3</v>
      </c>
      <c r="G145" s="2"/>
      <c r="H145" s="7"/>
      <c r="I145" s="2"/>
      <c r="J145" s="6">
        <f t="shared" si="37"/>
        <v>0</v>
      </c>
      <c r="K145" s="2"/>
      <c r="L145" s="7">
        <f t="shared" si="38"/>
        <v>2092.35</v>
      </c>
      <c r="M145" s="2"/>
      <c r="N145" s="6">
        <f t="shared" si="39"/>
        <v>0</v>
      </c>
      <c r="O145" s="11"/>
      <c r="P145" s="7">
        <v>11969.97</v>
      </c>
      <c r="Q145" s="2"/>
      <c r="R145" s="6">
        <f t="shared" si="40"/>
        <v>2.6612201321589688E-3</v>
      </c>
      <c r="S145" s="2"/>
      <c r="T145" s="7">
        <v>9987.9599999999991</v>
      </c>
      <c r="U145" s="2"/>
      <c r="V145" s="6">
        <f t="shared" si="41"/>
        <v>2.5742000013886509E-3</v>
      </c>
      <c r="W145" s="2"/>
      <c r="X145" s="7">
        <f t="shared" si="42"/>
        <v>1982.0100000000002</v>
      </c>
      <c r="Y145" s="2"/>
      <c r="Z145" s="6">
        <f t="shared" si="43"/>
        <v>0.19843992166568553</v>
      </c>
    </row>
    <row r="146" spans="1:26" s="24" customFormat="1" hidden="1" outlineLevel="2" x14ac:dyDescent="0.3">
      <c r="A146" s="27"/>
      <c r="B146" s="11" t="str">
        <f>CONCATENATE("          ", "6007", " - ", "STUDENT HOURLY")</f>
        <v xml:space="preserve">          6007 - STUDENT HOURLY</v>
      </c>
      <c r="C146" s="11"/>
      <c r="D146" s="7">
        <v>91886.94</v>
      </c>
      <c r="E146" s="2"/>
      <c r="F146" s="6">
        <f t="shared" si="36"/>
        <v>0.12084223093312994</v>
      </c>
      <c r="G146" s="2"/>
      <c r="H146" s="7">
        <v>47460.94</v>
      </c>
      <c r="I146" s="2"/>
      <c r="J146" s="6">
        <f t="shared" si="37"/>
        <v>4.0261269596261015E-2</v>
      </c>
      <c r="K146" s="2"/>
      <c r="L146" s="7">
        <f t="shared" si="38"/>
        <v>44426</v>
      </c>
      <c r="M146" s="2"/>
      <c r="N146" s="6">
        <f t="shared" si="39"/>
        <v>0.93605394246300211</v>
      </c>
      <c r="O146" s="11"/>
      <c r="P146" s="7">
        <v>432445.04</v>
      </c>
      <c r="Q146" s="2"/>
      <c r="R146" s="6">
        <f t="shared" si="40"/>
        <v>9.6143218947106021E-2</v>
      </c>
      <c r="S146" s="2"/>
      <c r="T146" s="7">
        <v>213689.37</v>
      </c>
      <c r="U146" s="2"/>
      <c r="V146" s="6">
        <f t="shared" si="41"/>
        <v>5.5074227024411393E-2</v>
      </c>
      <c r="W146" s="2"/>
      <c r="X146" s="7">
        <f t="shared" si="42"/>
        <v>218755.66999999998</v>
      </c>
      <c r="Y146" s="2"/>
      <c r="Z146" s="6">
        <f t="shared" si="43"/>
        <v>1.0237087132598126</v>
      </c>
    </row>
    <row r="147" spans="1:26" s="24" customFormat="1" hidden="1" outlineLevel="2" x14ac:dyDescent="0.3">
      <c r="A147" s="27"/>
      <c r="B147" s="11" t="str">
        <f>CONCATENATE("          ", "6008", " - ", "STUDENT HOURLY-FICA EXEMPT")</f>
        <v xml:space="preserve">          6008 - STUDENT HOURLY-FICA EXEMPT</v>
      </c>
      <c r="C147" s="11"/>
      <c r="D147" s="7">
        <v>5658.94</v>
      </c>
      <c r="E147" s="2"/>
      <c r="F147" s="6">
        <f t="shared" si="36"/>
        <v>7.4421776839747444E-3</v>
      </c>
      <c r="G147" s="2"/>
      <c r="H147" s="7">
        <v>1244.8800000000001</v>
      </c>
      <c r="I147" s="2"/>
      <c r="J147" s="6">
        <f t="shared" si="37"/>
        <v>1.0560357484490071E-3</v>
      </c>
      <c r="K147" s="2"/>
      <c r="L147" s="7">
        <f t="shared" si="38"/>
        <v>4414.0599999999995</v>
      </c>
      <c r="M147" s="2"/>
      <c r="N147" s="6">
        <f t="shared" si="39"/>
        <v>3.5457714799820055</v>
      </c>
      <c r="O147" s="11"/>
      <c r="P147" s="7">
        <v>62951.28</v>
      </c>
      <c r="Q147" s="2"/>
      <c r="R147" s="6">
        <f t="shared" si="40"/>
        <v>1.3995625192141356E-2</v>
      </c>
      <c r="S147" s="2"/>
      <c r="T147" s="7">
        <v>6175.33</v>
      </c>
      <c r="U147" s="2"/>
      <c r="V147" s="6">
        <f t="shared" si="41"/>
        <v>1.5915696993755862E-3</v>
      </c>
      <c r="W147" s="2"/>
      <c r="X147" s="7">
        <f t="shared" si="42"/>
        <v>56775.95</v>
      </c>
      <c r="Y147" s="2"/>
      <c r="Z147" s="6">
        <f t="shared" si="43"/>
        <v>9.1939944909826679</v>
      </c>
    </row>
    <row r="148" spans="1:26" s="29" customFormat="1" outlineLevel="1" collapsed="1" x14ac:dyDescent="0.3">
      <c r="A148" s="28"/>
      <c r="B148" s="14" t="str">
        <f>CONCATENATE("     ","Advertising/Promo                                 ")</f>
        <v xml:space="preserve">     Advertising/Promo                                 </v>
      </c>
      <c r="C148" s="14"/>
      <c r="D148" s="1">
        <f>SUM(OSRRefD22_2x_0)</f>
        <v>722.24</v>
      </c>
      <c r="E148" s="1"/>
      <c r="F148" s="5">
        <f t="shared" ref="F148:F152" si="44">IF(D$12=0,0,D148/D$12)</f>
        <v>9.4983131301514413E-4</v>
      </c>
      <c r="G148" s="1"/>
      <c r="H148" s="1">
        <f>SUM(OSRRefH22_2x_0)</f>
        <v>1331.63</v>
      </c>
      <c r="I148" s="1"/>
      <c r="J148" s="5">
        <f t="shared" ref="J148:J152" si="45">IF(H$12=0,0,H148/H$12)</f>
        <v>1.1296260552881813E-3</v>
      </c>
      <c r="K148" s="1"/>
      <c r="L148" s="1">
        <f t="shared" ref="L148:L152" si="46">+D148-H148</f>
        <v>-609.3900000000001</v>
      </c>
      <c r="M148" s="1"/>
      <c r="N148" s="5">
        <f t="shared" ref="N148:N152" si="47">IF(H148=0,0,L148/H148)</f>
        <v>-0.45762711864406785</v>
      </c>
      <c r="O148" s="14"/>
      <c r="P148" s="1">
        <f>SUM(OSRRefP22_2x_0)</f>
        <v>6368.45</v>
      </c>
      <c r="Q148" s="1"/>
      <c r="R148" s="5">
        <f t="shared" ref="R148:R152" si="48">IF(P$12=0,0,P148/P$12)</f>
        <v>1.4158638117428687E-3</v>
      </c>
      <c r="S148" s="1"/>
      <c r="T148" s="1">
        <f>SUM(OSRRefT22_2x_0)</f>
        <v>16034.14</v>
      </c>
      <c r="U148" s="1"/>
      <c r="V148" s="5">
        <f t="shared" ref="V148:V152" si="49">IF(T$12=0,0,T148/T$12)</f>
        <v>4.1324838315597804E-3</v>
      </c>
      <c r="W148" s="1"/>
      <c r="X148" s="1">
        <f t="shared" ref="X148:X152" si="50">+P148-T148</f>
        <v>-9665.6899999999987</v>
      </c>
      <c r="Y148" s="1"/>
      <c r="Z148" s="5">
        <f t="shared" ref="Z148:Z152" si="51">IF(T148=0,0,X148/T148)</f>
        <v>-0.60281935919232332</v>
      </c>
    </row>
    <row r="149" spans="1:26" s="24" customFormat="1" hidden="1" outlineLevel="2" x14ac:dyDescent="0.3">
      <c r="A149" s="27"/>
      <c r="B149" s="11" t="str">
        <f>CONCATENATE("          ", "6362", " - ", "ADVERTISING EXPENSE")</f>
        <v xml:space="preserve">          6362 - ADVERTISING EXPENSE</v>
      </c>
      <c r="C149" s="11"/>
      <c r="D149" s="7">
        <v>722.24</v>
      </c>
      <c r="E149" s="2"/>
      <c r="F149" s="6">
        <f t="shared" si="44"/>
        <v>9.4983131301514413E-4</v>
      </c>
      <c r="G149" s="2"/>
      <c r="H149" s="7">
        <v>1331.63</v>
      </c>
      <c r="I149" s="2"/>
      <c r="J149" s="6">
        <f t="shared" si="45"/>
        <v>1.1296260552881813E-3</v>
      </c>
      <c r="K149" s="2"/>
      <c r="L149" s="7">
        <f t="shared" si="46"/>
        <v>-609.3900000000001</v>
      </c>
      <c r="M149" s="2"/>
      <c r="N149" s="6">
        <f t="shared" si="47"/>
        <v>-0.45762711864406785</v>
      </c>
      <c r="O149" s="11"/>
      <c r="P149" s="7">
        <v>6368.45</v>
      </c>
      <c r="Q149" s="2"/>
      <c r="R149" s="6">
        <f t="shared" si="48"/>
        <v>1.4158638117428687E-3</v>
      </c>
      <c r="S149" s="2"/>
      <c r="T149" s="7">
        <v>16034.14</v>
      </c>
      <c r="U149" s="2"/>
      <c r="V149" s="6">
        <f t="shared" si="49"/>
        <v>4.1324838315597804E-3</v>
      </c>
      <c r="W149" s="2"/>
      <c r="X149" s="7">
        <f t="shared" si="50"/>
        <v>-9665.6899999999987</v>
      </c>
      <c r="Y149" s="2"/>
      <c r="Z149" s="6">
        <f t="shared" si="51"/>
        <v>-0.60281935919232332</v>
      </c>
    </row>
    <row r="150" spans="1:26" s="29" customFormat="1" outlineLevel="1" collapsed="1" x14ac:dyDescent="0.3">
      <c r="A150" s="28"/>
      <c r="B150" s="14" t="str">
        <f>CONCATENATE("     ","Bad Debts/Over/Short                              ")</f>
        <v xml:space="preserve">     Bad Debts/Over/Short                              </v>
      </c>
      <c r="C150" s="14"/>
      <c r="D150" s="1">
        <f>SUM(OSRRefD22_3x_0)</f>
        <v>-21.8</v>
      </c>
      <c r="E150" s="1"/>
      <c r="F150" s="5">
        <f t="shared" si="44"/>
        <v>-2.8669587150711873E-5</v>
      </c>
      <c r="G150" s="1"/>
      <c r="H150" s="1">
        <f>SUM(OSRRefH22_3x_0)</f>
        <v>1872.1</v>
      </c>
      <c r="I150" s="1"/>
      <c r="J150" s="5">
        <f t="shared" si="45"/>
        <v>1.5881085122030924E-3</v>
      </c>
      <c r="K150" s="1"/>
      <c r="L150" s="1">
        <f t="shared" si="46"/>
        <v>-1893.8999999999999</v>
      </c>
      <c r="M150" s="1"/>
      <c r="N150" s="5">
        <f t="shared" si="47"/>
        <v>-1.0116446771005823</v>
      </c>
      <c r="O150" s="14"/>
      <c r="P150" s="1">
        <f>SUM(OSRRefP22_3x_0)</f>
        <v>160.1</v>
      </c>
      <c r="Q150" s="1"/>
      <c r="R150" s="5">
        <f t="shared" si="48"/>
        <v>3.5594186381306796E-5</v>
      </c>
      <c r="S150" s="1"/>
      <c r="T150" s="1">
        <f>SUM(OSRRefT22_3x_0)</f>
        <v>1921.37</v>
      </c>
      <c r="U150" s="1"/>
      <c r="V150" s="5">
        <f t="shared" si="49"/>
        <v>4.9519528078487628E-4</v>
      </c>
      <c r="W150" s="1"/>
      <c r="X150" s="1">
        <f t="shared" si="50"/>
        <v>-1761.27</v>
      </c>
      <c r="Y150" s="1"/>
      <c r="Z150" s="5">
        <f t="shared" si="51"/>
        <v>-0.91667403987779561</v>
      </c>
    </row>
    <row r="151" spans="1:26" s="24" customFormat="1" hidden="1" outlineLevel="2" x14ac:dyDescent="0.3">
      <c r="A151" s="27"/>
      <c r="B151" s="11" t="str">
        <f>CONCATENATE("          ", "6272", " - ", "CASH (OVER/SHORT)")</f>
        <v xml:space="preserve">          6272 - CASH (OVER/SHORT)</v>
      </c>
      <c r="C151" s="11"/>
      <c r="D151" s="7">
        <v>-21.8</v>
      </c>
      <c r="E151" s="2"/>
      <c r="F151" s="6">
        <f t="shared" si="44"/>
        <v>-2.8669587150711873E-5</v>
      </c>
      <c r="G151" s="2"/>
      <c r="H151" s="7">
        <v>-124.68</v>
      </c>
      <c r="I151" s="2"/>
      <c r="J151" s="6">
        <f t="shared" si="45"/>
        <v>-1.0576644906868308E-4</v>
      </c>
      <c r="K151" s="2"/>
      <c r="L151" s="7">
        <f t="shared" si="46"/>
        <v>102.88000000000001</v>
      </c>
      <c r="M151" s="2"/>
      <c r="N151" s="6">
        <f t="shared" si="47"/>
        <v>-0.82515239011870389</v>
      </c>
      <c r="O151" s="11"/>
      <c r="P151" s="7">
        <v>160.1</v>
      </c>
      <c r="Q151" s="2"/>
      <c r="R151" s="6">
        <f t="shared" si="48"/>
        <v>3.5594186381306796E-5</v>
      </c>
      <c r="S151" s="2"/>
      <c r="T151" s="7">
        <v>-75.41</v>
      </c>
      <c r="U151" s="2"/>
      <c r="V151" s="6">
        <f t="shared" si="49"/>
        <v>-1.9435442483221619E-5</v>
      </c>
      <c r="W151" s="2"/>
      <c r="X151" s="7">
        <f t="shared" si="50"/>
        <v>235.51</v>
      </c>
      <c r="Y151" s="2"/>
      <c r="Z151" s="6">
        <f t="shared" si="51"/>
        <v>-3.1230606020421696</v>
      </c>
    </row>
    <row r="152" spans="1:26" s="24" customFormat="1" hidden="1" outlineLevel="2" x14ac:dyDescent="0.3">
      <c r="A152" s="27"/>
      <c r="B152" s="11" t="str">
        <f>CONCATENATE("          ", "6342", " - ", "BAD DEBT")</f>
        <v xml:space="preserve">          6342 - BAD DEBT</v>
      </c>
      <c r="C152" s="11"/>
      <c r="D152" s="7"/>
      <c r="E152" s="2"/>
      <c r="F152" s="6">
        <f t="shared" si="44"/>
        <v>0</v>
      </c>
      <c r="G152" s="2"/>
      <c r="H152" s="7">
        <v>1996.78</v>
      </c>
      <c r="I152" s="2"/>
      <c r="J152" s="6">
        <f t="shared" si="45"/>
        <v>1.6938749612717754E-3</v>
      </c>
      <c r="K152" s="2"/>
      <c r="L152" s="7">
        <f t="shared" si="46"/>
        <v>-1996.78</v>
      </c>
      <c r="M152" s="2"/>
      <c r="N152" s="6">
        <f t="shared" si="47"/>
        <v>-1</v>
      </c>
      <c r="O152" s="11"/>
      <c r="P152" s="7"/>
      <c r="Q152" s="2"/>
      <c r="R152" s="6">
        <f t="shared" si="48"/>
        <v>0</v>
      </c>
      <c r="S152" s="2"/>
      <c r="T152" s="7">
        <v>1996.78</v>
      </c>
      <c r="U152" s="2"/>
      <c r="V152" s="6">
        <f t="shared" si="49"/>
        <v>5.1463072326809794E-4</v>
      </c>
      <c r="W152" s="2"/>
      <c r="X152" s="7">
        <f t="shared" si="50"/>
        <v>-1996.78</v>
      </c>
      <c r="Y152" s="2"/>
      <c r="Z152" s="6">
        <f t="shared" si="51"/>
        <v>-1</v>
      </c>
    </row>
    <row r="153" spans="1:26" s="29" customFormat="1" outlineLevel="1" collapsed="1" x14ac:dyDescent="0.3">
      <c r="A153" s="28"/>
      <c r="B153" s="14" t="str">
        <f>CONCATENATE("     ","Bank/card Fees                                    ")</f>
        <v xml:space="preserve">     Bank/card Fees                                    </v>
      </c>
      <c r="C153" s="14"/>
      <c r="D153" s="1">
        <f>SUM(OSRRefD22_4x_0)</f>
        <v>12425.83</v>
      </c>
      <c r="E153" s="1"/>
      <c r="F153" s="5">
        <f t="shared" ref="F153:F157" si="52">IF(D$12=0,0,D153/D$12)</f>
        <v>1.6341441105730738E-2</v>
      </c>
      <c r="G153" s="1"/>
      <c r="H153" s="1">
        <f>SUM(OSRRefH22_4x_0)</f>
        <v>15172.83</v>
      </c>
      <c r="I153" s="1"/>
      <c r="J153" s="5">
        <f t="shared" ref="J153:J157" si="53">IF(H$12=0,0,H153/H$12)</f>
        <v>1.2871160983500052E-2</v>
      </c>
      <c r="K153" s="1"/>
      <c r="L153" s="1">
        <f t="shared" ref="L153:L157" si="54">+D153-H153</f>
        <v>-2747</v>
      </c>
      <c r="M153" s="1"/>
      <c r="N153" s="5">
        <f t="shared" ref="N153:N157" si="55">IF(H153=0,0,L153/H153)</f>
        <v>-0.18104730627048482</v>
      </c>
      <c r="O153" s="14"/>
      <c r="P153" s="1">
        <f>SUM(OSRRefP22_4x_0)</f>
        <v>83762.41</v>
      </c>
      <c r="Q153" s="1"/>
      <c r="R153" s="5">
        <f t="shared" ref="R153:R157" si="56">IF(P$12=0,0,P153/P$12)</f>
        <v>1.8622453674499915E-2</v>
      </c>
      <c r="S153" s="1"/>
      <c r="T153" s="1">
        <f>SUM(OSRRefT22_4x_0)</f>
        <v>62882.94</v>
      </c>
      <c r="U153" s="1"/>
      <c r="V153" s="5">
        <f t="shared" ref="V153:V157" si="57">IF(T$12=0,0,T153/T$12)</f>
        <v>1.6206839458239967E-2</v>
      </c>
      <c r="W153" s="1"/>
      <c r="X153" s="1">
        <f t="shared" ref="X153:X157" si="58">+P153-T153</f>
        <v>20879.47</v>
      </c>
      <c r="Y153" s="1"/>
      <c r="Z153" s="5">
        <f t="shared" ref="Z153:Z157" si="59">IF(T153=0,0,X153/T153)</f>
        <v>0.33203711531299268</v>
      </c>
    </row>
    <row r="154" spans="1:26" s="24" customFormat="1" hidden="1" outlineLevel="2" x14ac:dyDescent="0.3">
      <c r="A154" s="27"/>
      <c r="B154" s="11" t="str">
        <f>CONCATENATE("          ", "6381", " - ", "BANK/CREDIT CARD FEES")</f>
        <v xml:space="preserve">          6381 - BANK/CREDIT CARD FEES</v>
      </c>
      <c r="C154" s="11"/>
      <c r="D154" s="7">
        <v>12425.83</v>
      </c>
      <c r="E154" s="2"/>
      <c r="F154" s="6">
        <f t="shared" si="52"/>
        <v>1.6341441105730738E-2</v>
      </c>
      <c r="G154" s="2"/>
      <c r="H154" s="7">
        <v>15172.83</v>
      </c>
      <c r="I154" s="2"/>
      <c r="J154" s="6">
        <f t="shared" si="53"/>
        <v>1.2871160983500052E-2</v>
      </c>
      <c r="K154" s="2"/>
      <c r="L154" s="7">
        <f t="shared" si="54"/>
        <v>-2747</v>
      </c>
      <c r="M154" s="2"/>
      <c r="N154" s="6">
        <f t="shared" si="55"/>
        <v>-0.18104730627048482</v>
      </c>
      <c r="O154" s="11"/>
      <c r="P154" s="7">
        <v>83762.41</v>
      </c>
      <c r="Q154" s="2"/>
      <c r="R154" s="6">
        <f t="shared" si="56"/>
        <v>1.8622453674499915E-2</v>
      </c>
      <c r="S154" s="2"/>
      <c r="T154" s="7">
        <v>62882.94</v>
      </c>
      <c r="U154" s="2"/>
      <c r="V154" s="6">
        <f t="shared" si="57"/>
        <v>1.6206839458239967E-2</v>
      </c>
      <c r="W154" s="2"/>
      <c r="X154" s="7">
        <f t="shared" si="58"/>
        <v>20879.47</v>
      </c>
      <c r="Y154" s="2"/>
      <c r="Z154" s="6">
        <f t="shared" si="59"/>
        <v>0.33203711531299268</v>
      </c>
    </row>
    <row r="155" spans="1:26" s="29" customFormat="1" outlineLevel="1" collapsed="1" x14ac:dyDescent="0.3">
      <c r="A155" s="28"/>
      <c r="B155" s="14" t="str">
        <f>CONCATENATE("     ","Depreciation                                      ")</f>
        <v xml:space="preserve">     Depreciation                                      </v>
      </c>
      <c r="C155" s="14"/>
      <c r="D155" s="1">
        <f>SUM(OSRRefD22_5x_0)</f>
        <v>34674.68</v>
      </c>
      <c r="E155" s="1"/>
      <c r="F155" s="5">
        <f t="shared" si="52"/>
        <v>4.560131927445165E-2</v>
      </c>
      <c r="G155" s="1"/>
      <c r="H155" s="1">
        <f>SUM(OSRRefH22_5x_0)</f>
        <v>39887.94</v>
      </c>
      <c r="I155" s="1"/>
      <c r="J155" s="5">
        <f t="shared" si="53"/>
        <v>3.3837069092594534E-2</v>
      </c>
      <c r="K155" s="1"/>
      <c r="L155" s="1">
        <f t="shared" si="54"/>
        <v>-5213.260000000002</v>
      </c>
      <c r="M155" s="1"/>
      <c r="N155" s="5">
        <f t="shared" si="55"/>
        <v>-0.13069764946497617</v>
      </c>
      <c r="O155" s="14"/>
      <c r="P155" s="1">
        <f>SUM(OSRRefP22_5x_0)</f>
        <v>259062.13</v>
      </c>
      <c r="Q155" s="1"/>
      <c r="R155" s="5">
        <f t="shared" si="56"/>
        <v>5.7595913426348108E-2</v>
      </c>
      <c r="S155" s="1"/>
      <c r="T155" s="1">
        <f>SUM(OSRRefT22_5x_0)</f>
        <v>279692.34999999998</v>
      </c>
      <c r="U155" s="1"/>
      <c r="V155" s="5">
        <f t="shared" si="57"/>
        <v>7.2085195351042158E-2</v>
      </c>
      <c r="W155" s="1"/>
      <c r="X155" s="1">
        <f t="shared" si="58"/>
        <v>-20630.219999999972</v>
      </c>
      <c r="Y155" s="1"/>
      <c r="Z155" s="5">
        <f t="shared" si="59"/>
        <v>-7.3760401383877586E-2</v>
      </c>
    </row>
    <row r="156" spans="1:26" s="24" customFormat="1" hidden="1" outlineLevel="2" x14ac:dyDescent="0.3">
      <c r="A156" s="27"/>
      <c r="B156" s="11" t="str">
        <f>CONCATENATE("          ", "6321", " - ", "BUILDING DEPRECIATION")</f>
        <v xml:space="preserve">          6321 - BUILDING DEPRECIATION</v>
      </c>
      <c r="C156" s="11"/>
      <c r="D156" s="7">
        <v>19212.11</v>
      </c>
      <c r="E156" s="2"/>
      <c r="F156" s="6">
        <f t="shared" si="52"/>
        <v>2.5266204678626746E-2</v>
      </c>
      <c r="G156" s="2"/>
      <c r="H156" s="7">
        <v>21477.03</v>
      </c>
      <c r="I156" s="2"/>
      <c r="J156" s="6">
        <f t="shared" si="53"/>
        <v>1.8219034325004636E-2</v>
      </c>
      <c r="K156" s="2"/>
      <c r="L156" s="7">
        <f t="shared" si="54"/>
        <v>-2264.9199999999983</v>
      </c>
      <c r="M156" s="2"/>
      <c r="N156" s="6">
        <f t="shared" si="55"/>
        <v>-0.10545778443294992</v>
      </c>
      <c r="O156" s="11"/>
      <c r="P156" s="7">
        <v>148074.28</v>
      </c>
      <c r="Q156" s="2"/>
      <c r="R156" s="6">
        <f t="shared" si="56"/>
        <v>3.2920571646457272E-2</v>
      </c>
      <c r="S156" s="2"/>
      <c r="T156" s="7">
        <v>150339.21</v>
      </c>
      <c r="U156" s="2"/>
      <c r="V156" s="6">
        <f t="shared" si="57"/>
        <v>3.8746970811934442E-2</v>
      </c>
      <c r="W156" s="2"/>
      <c r="X156" s="7">
        <f t="shared" si="58"/>
        <v>-2264.929999999993</v>
      </c>
      <c r="Y156" s="2"/>
      <c r="Z156" s="6">
        <f t="shared" si="59"/>
        <v>-1.5065464292382494E-2</v>
      </c>
    </row>
    <row r="157" spans="1:26" s="24" customFormat="1" hidden="1" outlineLevel="2" x14ac:dyDescent="0.3">
      <c r="A157" s="27"/>
      <c r="B157" s="11" t="str">
        <f>CONCATENATE("          ", "6322", " - ", "EQUIPMENT DEPRECIATION EXPENSE")</f>
        <v xml:space="preserve">          6322 - EQUIPMENT DEPRECIATION EXPENSE</v>
      </c>
      <c r="C157" s="11"/>
      <c r="D157" s="7">
        <v>15462.57</v>
      </c>
      <c r="E157" s="2"/>
      <c r="F157" s="6">
        <f t="shared" si="52"/>
        <v>2.0335114595824901E-2</v>
      </c>
      <c r="G157" s="2"/>
      <c r="H157" s="7">
        <v>18410.91</v>
      </c>
      <c r="I157" s="2"/>
      <c r="J157" s="6">
        <f t="shared" si="53"/>
        <v>1.5618034767589892E-2</v>
      </c>
      <c r="K157" s="2"/>
      <c r="L157" s="7">
        <f t="shared" si="54"/>
        <v>-2948.34</v>
      </c>
      <c r="M157" s="2"/>
      <c r="N157" s="6">
        <f t="shared" si="55"/>
        <v>-0.16014091644573789</v>
      </c>
      <c r="O157" s="11"/>
      <c r="P157" s="7">
        <v>110987.85</v>
      </c>
      <c r="Q157" s="2"/>
      <c r="R157" s="6">
        <f t="shared" si="56"/>
        <v>2.4675341779890832E-2</v>
      </c>
      <c r="S157" s="2"/>
      <c r="T157" s="7">
        <v>129353.14</v>
      </c>
      <c r="U157" s="2"/>
      <c r="V157" s="6">
        <f t="shared" si="57"/>
        <v>3.3338224539107723E-2</v>
      </c>
      <c r="W157" s="2"/>
      <c r="X157" s="7">
        <f t="shared" si="58"/>
        <v>-18365.289999999994</v>
      </c>
      <c r="Y157" s="2"/>
      <c r="Z157" s="6">
        <f t="shared" si="59"/>
        <v>-0.14197792183475402</v>
      </c>
    </row>
    <row r="158" spans="1:26" s="29" customFormat="1" outlineLevel="1" collapsed="1" x14ac:dyDescent="0.3">
      <c r="A158" s="28"/>
      <c r="B158" s="14" t="str">
        <f>CONCATENATE("     ","Discounts and Markdowns                           ")</f>
        <v xml:space="preserve">     Discounts and Markdowns                           </v>
      </c>
      <c r="C158" s="14"/>
      <c r="D158" s="1">
        <f>SUM(OSRRefD22_6x_0)</f>
        <v>-1290.25</v>
      </c>
      <c r="E158" s="1"/>
      <c r="F158" s="5">
        <f t="shared" ref="F158:F160" si="60">IF(D$12=0,0,D158/D$12)</f>
        <v>-1.6968318725323849E-3</v>
      </c>
      <c r="G158" s="1"/>
      <c r="H158" s="1">
        <f>SUM(OSRRefH22_6x_0)</f>
        <v>-42.86</v>
      </c>
      <c r="I158" s="1"/>
      <c r="J158" s="5">
        <f t="shared" ref="J158:J160" si="61">IF(H$12=0,0,H158/H$12)</f>
        <v>-3.6358277246420889E-5</v>
      </c>
      <c r="K158" s="1"/>
      <c r="L158" s="1">
        <f t="shared" ref="L158:L160" si="62">+D158-H158</f>
        <v>-1247.3900000000001</v>
      </c>
      <c r="M158" s="1"/>
      <c r="N158" s="5">
        <f t="shared" ref="N158:N160" si="63">IF(H158=0,0,L158/H158)</f>
        <v>29.103826411572566</v>
      </c>
      <c r="O158" s="14"/>
      <c r="P158" s="1">
        <f>SUM(OSRRefP22_6x_0)</f>
        <v>2064.5499999999997</v>
      </c>
      <c r="Q158" s="1"/>
      <c r="R158" s="5">
        <f t="shared" ref="R158:R160" si="64">IF(P$12=0,0,P158/P$12)</f>
        <v>4.5900048403202338E-4</v>
      </c>
      <c r="S158" s="1"/>
      <c r="T158" s="1">
        <f>SUM(OSRRefT22_6x_0)</f>
        <v>-42.86</v>
      </c>
      <c r="U158" s="1"/>
      <c r="V158" s="5">
        <f t="shared" ref="V158:V160" si="65">IF(T$12=0,0,T158/T$12)</f>
        <v>-1.1046320976407355E-5</v>
      </c>
      <c r="W158" s="1"/>
      <c r="X158" s="1">
        <f t="shared" ref="X158:X160" si="66">+P158-T158</f>
        <v>2107.41</v>
      </c>
      <c r="Y158" s="1"/>
      <c r="Z158" s="5">
        <f t="shared" ref="Z158:Z160" si="67">IF(T158=0,0,X158/T158)</f>
        <v>-49.169622025198315</v>
      </c>
    </row>
    <row r="159" spans="1:26" s="24" customFormat="1" hidden="1" outlineLevel="2" x14ac:dyDescent="0.3">
      <c r="A159" s="27"/>
      <c r="B159" s="11" t="str">
        <f>CONCATENATE("          ", "6382", " - ", "DISCOUNTS/MARK DOWNS")</f>
        <v xml:space="preserve">          6382 - DISCOUNTS/MARK DOWNS</v>
      </c>
      <c r="C159" s="11"/>
      <c r="D159" s="7">
        <v>-1238.6500000000001</v>
      </c>
      <c r="E159" s="2"/>
      <c r="F159" s="6">
        <f t="shared" si="60"/>
        <v>-1.6289717488178561E-3</v>
      </c>
      <c r="G159" s="2"/>
      <c r="H159" s="7">
        <v>0</v>
      </c>
      <c r="I159" s="2"/>
      <c r="J159" s="6">
        <f t="shared" si="61"/>
        <v>0</v>
      </c>
      <c r="K159" s="2"/>
      <c r="L159" s="7">
        <f t="shared" si="62"/>
        <v>-1238.6500000000001</v>
      </c>
      <c r="M159" s="2"/>
      <c r="N159" s="6">
        <f t="shared" si="63"/>
        <v>0</v>
      </c>
      <c r="O159" s="11"/>
      <c r="P159" s="7">
        <v>2171.35</v>
      </c>
      <c r="Q159" s="2"/>
      <c r="R159" s="6">
        <f t="shared" si="64"/>
        <v>4.8274476326702381E-4</v>
      </c>
      <c r="S159" s="2"/>
      <c r="T159" s="7">
        <v>0</v>
      </c>
      <c r="U159" s="2"/>
      <c r="V159" s="6">
        <f t="shared" si="65"/>
        <v>0</v>
      </c>
      <c r="W159" s="2"/>
      <c r="X159" s="7">
        <f t="shared" si="66"/>
        <v>2171.35</v>
      </c>
      <c r="Y159" s="2"/>
      <c r="Z159" s="6">
        <f t="shared" si="67"/>
        <v>0</v>
      </c>
    </row>
    <row r="160" spans="1:26" s="24" customFormat="1" hidden="1" outlineLevel="2" x14ac:dyDescent="0.3">
      <c r="A160" s="27"/>
      <c r="B160" s="11" t="str">
        <f>CONCATENATE("          ", "9175", " - ", "EARNED DISCOUNTS")</f>
        <v xml:space="preserve">          9175 - EARNED DISCOUNTS</v>
      </c>
      <c r="C160" s="11"/>
      <c r="D160" s="7">
        <v>-51.6</v>
      </c>
      <c r="E160" s="2"/>
      <c r="F160" s="6">
        <f t="shared" si="60"/>
        <v>-6.7860123714529022E-5</v>
      </c>
      <c r="G160" s="2"/>
      <c r="H160" s="7">
        <v>-42.86</v>
      </c>
      <c r="I160" s="2"/>
      <c r="J160" s="6">
        <f t="shared" si="61"/>
        <v>-3.6358277246420889E-5</v>
      </c>
      <c r="K160" s="2"/>
      <c r="L160" s="7">
        <f t="shared" si="62"/>
        <v>-8.740000000000002</v>
      </c>
      <c r="M160" s="2"/>
      <c r="N160" s="6">
        <f t="shared" si="63"/>
        <v>0.20391973868408778</v>
      </c>
      <c r="O160" s="11"/>
      <c r="P160" s="7">
        <v>-106.8</v>
      </c>
      <c r="Q160" s="2"/>
      <c r="R160" s="6">
        <f t="shared" si="64"/>
        <v>-2.3744279235000412E-5</v>
      </c>
      <c r="S160" s="2"/>
      <c r="T160" s="7">
        <v>-42.86</v>
      </c>
      <c r="U160" s="2"/>
      <c r="V160" s="6">
        <f t="shared" si="65"/>
        <v>-1.1046320976407355E-5</v>
      </c>
      <c r="W160" s="2"/>
      <c r="X160" s="7">
        <f t="shared" si="66"/>
        <v>-63.94</v>
      </c>
      <c r="Y160" s="2"/>
      <c r="Z160" s="6">
        <f t="shared" si="67"/>
        <v>1.4918338777414839</v>
      </c>
    </row>
    <row r="161" spans="1:26" s="29" customFormat="1" outlineLevel="1" collapsed="1" x14ac:dyDescent="0.3">
      <c r="A161" s="28"/>
      <c r="B161" s="14" t="str">
        <f>CONCATENATE("     ","Donations                                         ")</f>
        <v xml:space="preserve">     Donations                                         </v>
      </c>
      <c r="C161" s="14"/>
      <c r="D161" s="1">
        <f>SUM(OSRRefD22_7x_0)</f>
        <v>0</v>
      </c>
      <c r="E161" s="1"/>
      <c r="F161" s="5">
        <f t="shared" ref="F161:F169" si="68">IF(D$12=0,0,D161/D$12)</f>
        <v>0</v>
      </c>
      <c r="G161" s="1"/>
      <c r="H161" s="1">
        <f>SUM(OSRRefH22_7x_0)</f>
        <v>0</v>
      </c>
      <c r="I161" s="1"/>
      <c r="J161" s="5">
        <f t="shared" ref="J161:J169" si="69">IF(H$12=0,0,H161/H$12)</f>
        <v>0</v>
      </c>
      <c r="K161" s="1"/>
      <c r="L161" s="1">
        <f t="shared" ref="L161:L169" si="70">+D161-H161</f>
        <v>0</v>
      </c>
      <c r="M161" s="1"/>
      <c r="N161" s="5">
        <f t="shared" ref="N161:N169" si="71">IF(H161=0,0,L161/H161)</f>
        <v>0</v>
      </c>
      <c r="O161" s="14"/>
      <c r="P161" s="1">
        <f>SUM(OSRRefP22_7x_0)</f>
        <v>2820.22</v>
      </c>
      <c r="Q161" s="1"/>
      <c r="R161" s="5">
        <f t="shared" ref="R161:R169" si="72">IF(P$12=0,0,P161/P$12)</f>
        <v>6.2700459910236767E-4</v>
      </c>
      <c r="S161" s="1"/>
      <c r="T161" s="1">
        <f>SUM(OSRRefT22_7x_0)</f>
        <v>0</v>
      </c>
      <c r="U161" s="1"/>
      <c r="V161" s="5">
        <f t="shared" ref="V161:V169" si="73">IF(T$12=0,0,T161/T$12)</f>
        <v>0</v>
      </c>
      <c r="W161" s="1"/>
      <c r="X161" s="1">
        <f t="shared" ref="X161:X169" si="74">+P161-T161</f>
        <v>2820.22</v>
      </c>
      <c r="Y161" s="1"/>
      <c r="Z161" s="5">
        <f t="shared" ref="Z161:Z169" si="75">IF(T161=0,0,X161/T161)</f>
        <v>0</v>
      </c>
    </row>
    <row r="162" spans="1:26" s="24" customFormat="1" hidden="1" outlineLevel="2" x14ac:dyDescent="0.3">
      <c r="A162" s="27"/>
      <c r="B162" s="11" t="str">
        <f>CONCATENATE("          ", "6399", " - ", "DONATION-ON CAMPUS")</f>
        <v xml:space="preserve">          6399 - DONATION-ON CAMPUS</v>
      </c>
      <c r="C162" s="11"/>
      <c r="D162" s="7"/>
      <c r="E162" s="2"/>
      <c r="F162" s="6">
        <f t="shared" si="68"/>
        <v>0</v>
      </c>
      <c r="G162" s="2"/>
      <c r="H162" s="7"/>
      <c r="I162" s="2"/>
      <c r="J162" s="6">
        <f t="shared" si="69"/>
        <v>0</v>
      </c>
      <c r="K162" s="2"/>
      <c r="L162" s="7">
        <f t="shared" si="70"/>
        <v>0</v>
      </c>
      <c r="M162" s="2"/>
      <c r="N162" s="6">
        <f t="shared" si="71"/>
        <v>0</v>
      </c>
      <c r="O162" s="11"/>
      <c r="P162" s="7">
        <v>2820.22</v>
      </c>
      <c r="Q162" s="2"/>
      <c r="R162" s="6">
        <f t="shared" si="72"/>
        <v>6.2700459910236767E-4</v>
      </c>
      <c r="S162" s="2"/>
      <c r="T162" s="7"/>
      <c r="U162" s="2"/>
      <c r="V162" s="6">
        <f t="shared" si="73"/>
        <v>0</v>
      </c>
      <c r="W162" s="2"/>
      <c r="X162" s="7">
        <f t="shared" si="74"/>
        <v>2820.22</v>
      </c>
      <c r="Y162" s="2"/>
      <c r="Z162" s="6">
        <f t="shared" si="75"/>
        <v>0</v>
      </c>
    </row>
    <row r="163" spans="1:26" s="29" customFormat="1" outlineLevel="1" collapsed="1" x14ac:dyDescent="0.3">
      <c r="A163" s="28"/>
      <c r="B163" s="14" t="str">
        <f>CONCATENATE("     ","Employees' Appreciation                           ")</f>
        <v xml:space="preserve">     Employees' Appreciation                           </v>
      </c>
      <c r="C163" s="14"/>
      <c r="D163" s="1">
        <f>SUM(OSRRefD22_8x_0)</f>
        <v>1421.38</v>
      </c>
      <c r="E163" s="1"/>
      <c r="F163" s="5">
        <f t="shared" si="68"/>
        <v>1.869283384599947E-3</v>
      </c>
      <c r="G163" s="1"/>
      <c r="H163" s="1">
        <f>SUM(OSRRefH22_8x_0)</f>
        <v>78.33</v>
      </c>
      <c r="I163" s="1"/>
      <c r="J163" s="5">
        <f t="shared" si="69"/>
        <v>6.6447593483717882E-5</v>
      </c>
      <c r="K163" s="1"/>
      <c r="L163" s="1">
        <f t="shared" si="70"/>
        <v>1343.0500000000002</v>
      </c>
      <c r="M163" s="1"/>
      <c r="N163" s="5">
        <f t="shared" si="71"/>
        <v>17.146048768032685</v>
      </c>
      <c r="O163" s="14"/>
      <c r="P163" s="1">
        <f>SUM(OSRRefP22_8x_0)</f>
        <v>4245.1899999999996</v>
      </c>
      <c r="Q163" s="1"/>
      <c r="R163" s="5">
        <f t="shared" si="72"/>
        <v>9.4381064387295311E-4</v>
      </c>
      <c r="S163" s="1"/>
      <c r="T163" s="1">
        <f>SUM(OSRRefT22_8x_0)</f>
        <v>186.03</v>
      </c>
      <c r="U163" s="1"/>
      <c r="V163" s="5">
        <f t="shared" si="73"/>
        <v>4.794556909101867E-5</v>
      </c>
      <c r="W163" s="1"/>
      <c r="X163" s="1">
        <f t="shared" si="74"/>
        <v>4059.1599999999994</v>
      </c>
      <c r="Y163" s="1"/>
      <c r="Z163" s="5">
        <f t="shared" si="75"/>
        <v>21.819921518034722</v>
      </c>
    </row>
    <row r="164" spans="1:26" s="24" customFormat="1" hidden="1" outlineLevel="2" x14ac:dyDescent="0.3">
      <c r="A164" s="27"/>
      <c r="B164" s="11" t="str">
        <f>CONCATENATE("          ", "6277", " - ", "EMPLOYEE APPRECIATION")</f>
        <v xml:space="preserve">          6277 - EMPLOYEE APPRECIATION</v>
      </c>
      <c r="C164" s="11"/>
      <c r="D164" s="7">
        <v>1421.38</v>
      </c>
      <c r="E164" s="2"/>
      <c r="F164" s="6">
        <f t="shared" si="68"/>
        <v>1.869283384599947E-3</v>
      </c>
      <c r="G164" s="2"/>
      <c r="H164" s="7">
        <v>78.33</v>
      </c>
      <c r="I164" s="2"/>
      <c r="J164" s="6">
        <f t="shared" si="69"/>
        <v>6.6447593483717882E-5</v>
      </c>
      <c r="K164" s="2"/>
      <c r="L164" s="7">
        <f t="shared" si="70"/>
        <v>1343.0500000000002</v>
      </c>
      <c r="M164" s="2"/>
      <c r="N164" s="6">
        <f t="shared" si="71"/>
        <v>17.146048768032685</v>
      </c>
      <c r="O164" s="11"/>
      <c r="P164" s="7">
        <v>4245.1899999999996</v>
      </c>
      <c r="Q164" s="2"/>
      <c r="R164" s="6">
        <f t="shared" si="72"/>
        <v>9.4381064387295311E-4</v>
      </c>
      <c r="S164" s="2"/>
      <c r="T164" s="7">
        <v>186.03</v>
      </c>
      <c r="U164" s="2"/>
      <c r="V164" s="6">
        <f t="shared" si="73"/>
        <v>4.794556909101867E-5</v>
      </c>
      <c r="W164" s="2"/>
      <c r="X164" s="7">
        <f t="shared" si="74"/>
        <v>4059.1599999999994</v>
      </c>
      <c r="Y164" s="2"/>
      <c r="Z164" s="6">
        <f t="shared" si="75"/>
        <v>21.819921518034722</v>
      </c>
    </row>
    <row r="165" spans="1:26" s="29" customFormat="1" outlineLevel="1" collapsed="1" x14ac:dyDescent="0.3">
      <c r="A165" s="28"/>
      <c r="B165" s="14" t="str">
        <f>CONCATENATE("     ","Equipment Rental                                  ")</f>
        <v xml:space="preserve">     Equipment Rental                                  </v>
      </c>
      <c r="C165" s="14"/>
      <c r="D165" s="1">
        <f>SUM(OSRRefD22_9x_0)</f>
        <v>1479.42</v>
      </c>
      <c r="E165" s="1"/>
      <c r="F165" s="5">
        <f t="shared" si="68"/>
        <v>1.9456128725920258E-3</v>
      </c>
      <c r="G165" s="1"/>
      <c r="H165" s="1">
        <f>SUM(OSRRefH22_9x_0)</f>
        <v>1564.56</v>
      </c>
      <c r="I165" s="1"/>
      <c r="J165" s="5">
        <f t="shared" si="69"/>
        <v>1.3272213310466696E-3</v>
      </c>
      <c r="K165" s="1"/>
      <c r="L165" s="1">
        <f t="shared" si="70"/>
        <v>-85.139999999999873</v>
      </c>
      <c r="M165" s="1"/>
      <c r="N165" s="5">
        <f t="shared" si="71"/>
        <v>-5.4417855499309629E-2</v>
      </c>
      <c r="O165" s="14"/>
      <c r="P165" s="1">
        <f>SUM(OSRRefP22_9x_0)</f>
        <v>11339.94</v>
      </c>
      <c r="Q165" s="1"/>
      <c r="R165" s="5">
        <f t="shared" si="72"/>
        <v>2.5211488938965414E-3</v>
      </c>
      <c r="S165" s="1"/>
      <c r="T165" s="1">
        <f>SUM(OSRRefT22_9x_0)</f>
        <v>10629.45</v>
      </c>
      <c r="U165" s="1"/>
      <c r="V165" s="5">
        <f t="shared" si="73"/>
        <v>2.7395314163012868E-3</v>
      </c>
      <c r="W165" s="1"/>
      <c r="X165" s="1">
        <f t="shared" si="74"/>
        <v>710.48999999999978</v>
      </c>
      <c r="Y165" s="1"/>
      <c r="Z165" s="5">
        <f t="shared" si="75"/>
        <v>6.684165220213649E-2</v>
      </c>
    </row>
    <row r="166" spans="1:26" s="24" customFormat="1" hidden="1" outlineLevel="2" x14ac:dyDescent="0.3">
      <c r="A166" s="27"/>
      <c r="B166" s="11" t="str">
        <f>CONCATENATE("          ", "6351", " - ", "EQUIPMENT RENTAL")</f>
        <v xml:space="preserve">          6351 - EQUIPMENT RENTAL</v>
      </c>
      <c r="C166" s="11"/>
      <c r="D166" s="7">
        <v>1479.42</v>
      </c>
      <c r="E166" s="2"/>
      <c r="F166" s="6">
        <f t="shared" si="68"/>
        <v>1.9456128725920258E-3</v>
      </c>
      <c r="G166" s="2"/>
      <c r="H166" s="7">
        <v>1564.56</v>
      </c>
      <c r="I166" s="2"/>
      <c r="J166" s="6">
        <f t="shared" si="69"/>
        <v>1.3272213310466696E-3</v>
      </c>
      <c r="K166" s="2"/>
      <c r="L166" s="7">
        <f t="shared" si="70"/>
        <v>-85.139999999999873</v>
      </c>
      <c r="M166" s="2"/>
      <c r="N166" s="6">
        <f t="shared" si="71"/>
        <v>-5.4417855499309629E-2</v>
      </c>
      <c r="O166" s="11"/>
      <c r="P166" s="7">
        <v>11339.94</v>
      </c>
      <c r="Q166" s="2"/>
      <c r="R166" s="6">
        <f t="shared" si="72"/>
        <v>2.5211488938965414E-3</v>
      </c>
      <c r="S166" s="2"/>
      <c r="T166" s="7">
        <v>10629.45</v>
      </c>
      <c r="U166" s="2"/>
      <c r="V166" s="6">
        <f t="shared" si="73"/>
        <v>2.7395314163012868E-3</v>
      </c>
      <c r="W166" s="2"/>
      <c r="X166" s="7">
        <f t="shared" si="74"/>
        <v>710.48999999999978</v>
      </c>
      <c r="Y166" s="2"/>
      <c r="Z166" s="6">
        <f t="shared" si="75"/>
        <v>6.684165220213649E-2</v>
      </c>
    </row>
    <row r="167" spans="1:26" s="29" customFormat="1" outlineLevel="1" collapsed="1" x14ac:dyDescent="0.3">
      <c r="A167" s="28"/>
      <c r="B167" s="14" t="str">
        <f>CONCATENATE("     ","Freight out/Postage                               ")</f>
        <v xml:space="preserve">     Freight out/Postage                               </v>
      </c>
      <c r="C167" s="14"/>
      <c r="D167" s="1">
        <f>SUM(OSRRefD22_10x_0)</f>
        <v>-7280.8900000000012</v>
      </c>
      <c r="E167" s="1"/>
      <c r="F167" s="5">
        <f t="shared" si="68"/>
        <v>-9.5752344215480085E-3</v>
      </c>
      <c r="G167" s="1"/>
      <c r="H167" s="1">
        <f>SUM(OSRRefH22_10x_0)</f>
        <v>-21762.36</v>
      </c>
      <c r="I167" s="1"/>
      <c r="J167" s="5">
        <f t="shared" si="69"/>
        <v>-1.8461080691003735E-2</v>
      </c>
      <c r="K167" s="1"/>
      <c r="L167" s="1">
        <f t="shared" si="70"/>
        <v>14481.47</v>
      </c>
      <c r="M167" s="1"/>
      <c r="N167" s="5">
        <f t="shared" si="71"/>
        <v>-0.6654365611082621</v>
      </c>
      <c r="O167" s="14"/>
      <c r="P167" s="1">
        <f>SUM(OSRRefP22_10x_0)</f>
        <v>-39448.099999999991</v>
      </c>
      <c r="Q167" s="1"/>
      <c r="R167" s="5">
        <f t="shared" si="72"/>
        <v>-8.7702874690095464E-3</v>
      </c>
      <c r="S167" s="1"/>
      <c r="T167" s="1">
        <f>SUM(OSRRefT22_10x_0)</f>
        <v>-36701.959999999992</v>
      </c>
      <c r="U167" s="1"/>
      <c r="V167" s="5">
        <f t="shared" si="73"/>
        <v>-9.4592074340472138E-3</v>
      </c>
      <c r="W167" s="1"/>
      <c r="X167" s="1">
        <f t="shared" si="74"/>
        <v>-2746.1399999999994</v>
      </c>
      <c r="Y167" s="1"/>
      <c r="Z167" s="5">
        <f t="shared" si="75"/>
        <v>7.482270701619205E-2</v>
      </c>
    </row>
    <row r="168" spans="1:26" s="24" customFormat="1" hidden="1" outlineLevel="2" x14ac:dyDescent="0.3">
      <c r="A168" s="27"/>
      <c r="B168" s="11" t="str">
        <f>CONCATENATE("          ", "6305", " - ", "FREIGHT OUT")</f>
        <v xml:space="preserve">          6305 - FREIGHT OUT</v>
      </c>
      <c r="C168" s="11"/>
      <c r="D168" s="7">
        <v>16037.19</v>
      </c>
      <c r="E168" s="2"/>
      <c r="F168" s="6">
        <f t="shared" si="68"/>
        <v>2.1090808089794723E-2</v>
      </c>
      <c r="G168" s="2"/>
      <c r="H168" s="7">
        <v>18723.86</v>
      </c>
      <c r="I168" s="2"/>
      <c r="J168" s="6">
        <f t="shared" si="69"/>
        <v>1.5883511269322685E-2</v>
      </c>
      <c r="K168" s="2"/>
      <c r="L168" s="7">
        <f t="shared" si="70"/>
        <v>-2686.67</v>
      </c>
      <c r="M168" s="2"/>
      <c r="N168" s="6">
        <f t="shared" si="71"/>
        <v>-0.14348910961735453</v>
      </c>
      <c r="O168" s="11"/>
      <c r="P168" s="7">
        <v>94136.45</v>
      </c>
      <c r="Q168" s="2"/>
      <c r="R168" s="6">
        <f t="shared" si="72"/>
        <v>2.0928859129135342E-2</v>
      </c>
      <c r="S168" s="2"/>
      <c r="T168" s="7">
        <v>135606.63</v>
      </c>
      <c r="U168" s="2"/>
      <c r="V168" s="6">
        <f t="shared" si="73"/>
        <v>3.4949938439311962E-2</v>
      </c>
      <c r="W168" s="2"/>
      <c r="X168" s="7">
        <f t="shared" si="74"/>
        <v>-41470.180000000008</v>
      </c>
      <c r="Y168" s="2"/>
      <c r="Z168" s="6">
        <f t="shared" si="75"/>
        <v>-0.30581233380698281</v>
      </c>
    </row>
    <row r="169" spans="1:26" s="24" customFormat="1" hidden="1" outlineLevel="2" x14ac:dyDescent="0.3">
      <c r="A169" s="27"/>
      <c r="B169" s="11" t="str">
        <f>CONCATENATE("          ", "6307", " - ", "POSTAGE")</f>
        <v xml:space="preserve">          6307 - POSTAGE</v>
      </c>
      <c r="C169" s="11"/>
      <c r="D169" s="7">
        <v>-23318.080000000002</v>
      </c>
      <c r="E169" s="2"/>
      <c r="F169" s="6">
        <f t="shared" si="68"/>
        <v>-3.066604251134273E-2</v>
      </c>
      <c r="G169" s="2"/>
      <c r="H169" s="7">
        <v>-40486.22</v>
      </c>
      <c r="I169" s="2"/>
      <c r="J169" s="6">
        <f t="shared" si="69"/>
        <v>-3.4344591960326416E-2</v>
      </c>
      <c r="K169" s="2"/>
      <c r="L169" s="7">
        <f t="shared" si="70"/>
        <v>17168.14</v>
      </c>
      <c r="M169" s="2"/>
      <c r="N169" s="6">
        <f t="shared" si="71"/>
        <v>-0.42404897271219688</v>
      </c>
      <c r="O169" s="11"/>
      <c r="P169" s="7">
        <v>-133584.54999999999</v>
      </c>
      <c r="Q169" s="2"/>
      <c r="R169" s="6">
        <f t="shared" si="72"/>
        <v>-2.969914659814489E-2</v>
      </c>
      <c r="S169" s="2"/>
      <c r="T169" s="7">
        <v>-172308.59</v>
      </c>
      <c r="U169" s="2"/>
      <c r="V169" s="6">
        <f t="shared" si="73"/>
        <v>-4.4409145873359181E-2</v>
      </c>
      <c r="W169" s="2"/>
      <c r="X169" s="7">
        <f t="shared" si="74"/>
        <v>38724.040000000008</v>
      </c>
      <c r="Y169" s="2"/>
      <c r="Z169" s="6">
        <f t="shared" si="75"/>
        <v>-0.22473656130550432</v>
      </c>
    </row>
    <row r="170" spans="1:26" s="29" customFormat="1" outlineLevel="1" collapsed="1" x14ac:dyDescent="0.3">
      <c r="A170" s="28"/>
      <c r="B170" s="14" t="str">
        <f>CONCATENATE("     ","General                                           ")</f>
        <v xml:space="preserve">     General                                           </v>
      </c>
      <c r="C170" s="14"/>
      <c r="D170" s="1">
        <f>SUM(OSRRefD22_11x_0)</f>
        <v>758.88</v>
      </c>
      <c r="E170" s="1"/>
      <c r="F170" s="5">
        <f t="shared" ref="F170:F178" si="76">IF(D$12=0,0,D170/D$12)</f>
        <v>9.980172613271662E-4</v>
      </c>
      <c r="G170" s="1"/>
      <c r="H170" s="1">
        <f>SUM(OSRRefH22_11x_0)</f>
        <v>-198.36</v>
      </c>
      <c r="I170" s="1"/>
      <c r="J170" s="5">
        <f t="shared" ref="J170:J178" si="77">IF(H$12=0,0,H170/H$12)</f>
        <v>-1.6826943244517144E-4</v>
      </c>
      <c r="K170" s="1"/>
      <c r="L170" s="1">
        <f t="shared" ref="L170:L178" si="78">+D170-H170</f>
        <v>957.24</v>
      </c>
      <c r="M170" s="1"/>
      <c r="N170" s="5">
        <f t="shared" ref="N170:N178" si="79">IF(H170=0,0,L170/H170)</f>
        <v>-4.8257713248638838</v>
      </c>
      <c r="O170" s="14"/>
      <c r="P170" s="1">
        <f>SUM(OSRRefP22_11x_0)</f>
        <v>7681.45</v>
      </c>
      <c r="Q170" s="1"/>
      <c r="R170" s="5">
        <f t="shared" ref="R170:R178" si="80">IF(P$12=0,0,P170/P$12)</f>
        <v>1.7077761585177333E-3</v>
      </c>
      <c r="S170" s="1"/>
      <c r="T170" s="1">
        <f>SUM(OSRRefT22_11x_0)</f>
        <v>5302.49</v>
      </c>
      <c r="U170" s="1"/>
      <c r="V170" s="5">
        <f t="shared" ref="V170:V178" si="81">IF(T$12=0,0,T170/T$12)</f>
        <v>1.3666123778392494E-3</v>
      </c>
      <c r="W170" s="1"/>
      <c r="X170" s="1">
        <f t="shared" ref="X170:X178" si="82">+P170-T170</f>
        <v>2378.96</v>
      </c>
      <c r="Y170" s="1"/>
      <c r="Z170" s="5">
        <f t="shared" ref="Z170:Z178" si="83">IF(T170=0,0,X170/T170)</f>
        <v>0.44864959669890941</v>
      </c>
    </row>
    <row r="171" spans="1:26" s="24" customFormat="1" hidden="1" outlineLevel="2" x14ac:dyDescent="0.3">
      <c r="A171" s="27"/>
      <c r="B171" s="11" t="str">
        <f>CONCATENATE("          ", "6279", " - ", "GENERAL EXPENSE")</f>
        <v xml:space="preserve">          6279 - GENERAL EXPENSE</v>
      </c>
      <c r="C171" s="11"/>
      <c r="D171" s="7">
        <v>758.88</v>
      </c>
      <c r="E171" s="2"/>
      <c r="F171" s="6">
        <f t="shared" si="76"/>
        <v>9.980172613271662E-4</v>
      </c>
      <c r="G171" s="2"/>
      <c r="H171" s="7">
        <v>-198.36</v>
      </c>
      <c r="I171" s="2"/>
      <c r="J171" s="6">
        <f t="shared" si="77"/>
        <v>-1.6826943244517144E-4</v>
      </c>
      <c r="K171" s="2"/>
      <c r="L171" s="7">
        <f t="shared" si="78"/>
        <v>957.24</v>
      </c>
      <c r="M171" s="2"/>
      <c r="N171" s="6">
        <f t="shared" si="79"/>
        <v>-4.8257713248638838</v>
      </c>
      <c r="O171" s="11"/>
      <c r="P171" s="7">
        <v>7681.45</v>
      </c>
      <c r="Q171" s="2"/>
      <c r="R171" s="6">
        <f t="shared" si="80"/>
        <v>1.7077761585177333E-3</v>
      </c>
      <c r="S171" s="2"/>
      <c r="T171" s="7">
        <v>5302.49</v>
      </c>
      <c r="U171" s="2"/>
      <c r="V171" s="6">
        <f t="shared" si="81"/>
        <v>1.3666123778392494E-3</v>
      </c>
      <c r="W171" s="2"/>
      <c r="X171" s="7">
        <f t="shared" si="82"/>
        <v>2378.96</v>
      </c>
      <c r="Y171" s="2"/>
      <c r="Z171" s="6">
        <f t="shared" si="83"/>
        <v>0.44864959669890941</v>
      </c>
    </row>
    <row r="172" spans="1:26" s="29" customFormat="1" outlineLevel="1" collapsed="1" x14ac:dyDescent="0.3">
      <c r="A172" s="28"/>
      <c r="B172" s="14" t="str">
        <f>CONCATENATE("     ","Insurance                                         ")</f>
        <v xml:space="preserve">     Insurance                                         </v>
      </c>
      <c r="C172" s="14"/>
      <c r="D172" s="1">
        <f>SUM(OSRRefD22_12x_0)</f>
        <v>5825.58</v>
      </c>
      <c r="E172" s="1"/>
      <c r="F172" s="5">
        <f t="shared" si="76"/>
        <v>7.6613290602497277E-3</v>
      </c>
      <c r="G172" s="1"/>
      <c r="H172" s="1">
        <f>SUM(OSRRefH22_12x_0)</f>
        <v>4288.28</v>
      </c>
      <c r="I172" s="1"/>
      <c r="J172" s="5">
        <f t="shared" si="77"/>
        <v>3.6377618560495045E-3</v>
      </c>
      <c r="K172" s="1"/>
      <c r="L172" s="1">
        <f t="shared" si="78"/>
        <v>1537.3000000000002</v>
      </c>
      <c r="M172" s="1"/>
      <c r="N172" s="5">
        <f t="shared" si="79"/>
        <v>0.35848871808743837</v>
      </c>
      <c r="O172" s="14"/>
      <c r="P172" s="1">
        <f>SUM(OSRRefP22_12x_0)</f>
        <v>40779.06</v>
      </c>
      <c r="Q172" s="1"/>
      <c r="R172" s="5">
        <f t="shared" si="80"/>
        <v>9.0661927676108228E-3</v>
      </c>
      <c r="S172" s="1"/>
      <c r="T172" s="1">
        <f>SUM(OSRRefT22_12x_0)</f>
        <v>30017.96</v>
      </c>
      <c r="U172" s="1"/>
      <c r="V172" s="5">
        <f t="shared" si="81"/>
        <v>7.7365380591917143E-3</v>
      </c>
      <c r="W172" s="1"/>
      <c r="X172" s="1">
        <f t="shared" si="82"/>
        <v>10761.099999999999</v>
      </c>
      <c r="Y172" s="1"/>
      <c r="Z172" s="5">
        <f t="shared" si="83"/>
        <v>0.35848871808743826</v>
      </c>
    </row>
    <row r="173" spans="1:26" s="24" customFormat="1" hidden="1" outlineLevel="2" x14ac:dyDescent="0.3">
      <c r="A173" s="27"/>
      <c r="B173" s="11" t="str">
        <f>CONCATENATE("          ", "6314", " - ", "LIABILITY INSURANCE")</f>
        <v xml:space="preserve">          6314 - LIABILITY INSURANCE</v>
      </c>
      <c r="C173" s="11"/>
      <c r="D173" s="7">
        <v>5825.58</v>
      </c>
      <c r="E173" s="2"/>
      <c r="F173" s="6">
        <f t="shared" si="76"/>
        <v>7.6613290602497277E-3</v>
      </c>
      <c r="G173" s="2"/>
      <c r="H173" s="7">
        <v>4288.28</v>
      </c>
      <c r="I173" s="2"/>
      <c r="J173" s="6">
        <f t="shared" si="77"/>
        <v>3.6377618560495045E-3</v>
      </c>
      <c r="K173" s="2"/>
      <c r="L173" s="7">
        <f t="shared" si="78"/>
        <v>1537.3000000000002</v>
      </c>
      <c r="M173" s="2"/>
      <c r="N173" s="6">
        <f t="shared" si="79"/>
        <v>0.35848871808743837</v>
      </c>
      <c r="O173" s="11"/>
      <c r="P173" s="7">
        <v>40779.06</v>
      </c>
      <c r="Q173" s="2"/>
      <c r="R173" s="6">
        <f t="shared" si="80"/>
        <v>9.0661927676108228E-3</v>
      </c>
      <c r="S173" s="2"/>
      <c r="T173" s="7">
        <v>30017.96</v>
      </c>
      <c r="U173" s="2"/>
      <c r="V173" s="6">
        <f t="shared" si="81"/>
        <v>7.7365380591917143E-3</v>
      </c>
      <c r="W173" s="2"/>
      <c r="X173" s="7">
        <f t="shared" si="82"/>
        <v>10761.099999999999</v>
      </c>
      <c r="Y173" s="2"/>
      <c r="Z173" s="6">
        <f t="shared" si="83"/>
        <v>0.35848871808743826</v>
      </c>
    </row>
    <row r="174" spans="1:26" s="29" customFormat="1" outlineLevel="1" collapsed="1" x14ac:dyDescent="0.3">
      <c r="A174" s="28"/>
      <c r="B174" s="14" t="str">
        <f>CONCATENATE("     ","Interest                                          ")</f>
        <v xml:space="preserve">     Interest                                          </v>
      </c>
      <c r="C174" s="14"/>
      <c r="D174" s="1">
        <f>SUM(OSRRefD22_13x_0)</f>
        <v>3905</v>
      </c>
      <c r="E174" s="1"/>
      <c r="F174" s="5">
        <f t="shared" si="76"/>
        <v>5.1355384322720118E-3</v>
      </c>
      <c r="G174" s="1"/>
      <c r="H174" s="1">
        <f>SUM(OSRRefH22_13x_0)</f>
        <v>4044</v>
      </c>
      <c r="I174" s="1"/>
      <c r="J174" s="5">
        <f t="shared" si="77"/>
        <v>3.4305383384163808E-3</v>
      </c>
      <c r="K174" s="1"/>
      <c r="L174" s="1">
        <f t="shared" si="78"/>
        <v>-139</v>
      </c>
      <c r="M174" s="1"/>
      <c r="N174" s="5">
        <f t="shared" si="79"/>
        <v>-3.4371909000989118E-2</v>
      </c>
      <c r="O174" s="14"/>
      <c r="P174" s="1">
        <f>SUM(OSRRefP22_13x_0)</f>
        <v>27059</v>
      </c>
      <c r="Q174" s="1"/>
      <c r="R174" s="5">
        <f t="shared" si="80"/>
        <v>6.015884380335919E-3</v>
      </c>
      <c r="S174" s="1"/>
      <c r="T174" s="1">
        <f>SUM(OSRRefT22_13x_0)</f>
        <v>28045.85</v>
      </c>
      <c r="U174" s="1"/>
      <c r="V174" s="5">
        <f t="shared" si="81"/>
        <v>7.2282655426078903E-3</v>
      </c>
      <c r="W174" s="1"/>
      <c r="X174" s="1">
        <f t="shared" si="82"/>
        <v>-986.84999999999854</v>
      </c>
      <c r="Y174" s="1"/>
      <c r="Z174" s="5">
        <f t="shared" si="83"/>
        <v>-3.5187024105170592E-2</v>
      </c>
    </row>
    <row r="175" spans="1:26" s="24" customFormat="1" hidden="1" outlineLevel="2" x14ac:dyDescent="0.3">
      <c r="A175" s="27"/>
      <c r="B175" s="11" t="str">
        <f>CONCATENATE("          ", "6401", " - ", "INTEREST EXPENSE")</f>
        <v xml:space="preserve">          6401 - INTEREST EXPENSE</v>
      </c>
      <c r="C175" s="11"/>
      <c r="D175" s="7">
        <v>3905</v>
      </c>
      <c r="E175" s="2"/>
      <c r="F175" s="6">
        <f t="shared" si="76"/>
        <v>5.1355384322720118E-3</v>
      </c>
      <c r="G175" s="2"/>
      <c r="H175" s="7">
        <v>4044</v>
      </c>
      <c r="I175" s="2"/>
      <c r="J175" s="6">
        <f t="shared" si="77"/>
        <v>3.4305383384163808E-3</v>
      </c>
      <c r="K175" s="2"/>
      <c r="L175" s="7">
        <f t="shared" si="78"/>
        <v>-139</v>
      </c>
      <c r="M175" s="2"/>
      <c r="N175" s="6">
        <f t="shared" si="79"/>
        <v>-3.4371909000989118E-2</v>
      </c>
      <c r="O175" s="11"/>
      <c r="P175" s="7">
        <v>27059</v>
      </c>
      <c r="Q175" s="2"/>
      <c r="R175" s="6">
        <f t="shared" si="80"/>
        <v>6.015884380335919E-3</v>
      </c>
      <c r="S175" s="2"/>
      <c r="T175" s="7">
        <v>28045.85</v>
      </c>
      <c r="U175" s="2"/>
      <c r="V175" s="6">
        <f t="shared" si="81"/>
        <v>7.2282655426078903E-3</v>
      </c>
      <c r="W175" s="2"/>
      <c r="X175" s="7">
        <f t="shared" si="82"/>
        <v>-986.84999999999854</v>
      </c>
      <c r="Y175" s="2"/>
      <c r="Z175" s="6">
        <f t="shared" si="83"/>
        <v>-3.5187024105170592E-2</v>
      </c>
    </row>
    <row r="176" spans="1:26" s="29" customFormat="1" outlineLevel="1" collapsed="1" x14ac:dyDescent="0.3">
      <c r="A176" s="28"/>
      <c r="B176" s="14" t="str">
        <f>CONCATENATE("     ","Inventory Adjustment                              ")</f>
        <v xml:space="preserve">     Inventory Adjustment                              </v>
      </c>
      <c r="C176" s="14"/>
      <c r="D176" s="1">
        <f>SUM(OSRRefD22_14x_0)</f>
        <v>5100</v>
      </c>
      <c r="E176" s="1"/>
      <c r="F176" s="5">
        <f t="shared" si="76"/>
        <v>6.7071052508546119E-3</v>
      </c>
      <c r="G176" s="1"/>
      <c r="H176" s="1">
        <f>SUM(OSRRefH22_14x_0)</f>
        <v>2100</v>
      </c>
      <c r="I176" s="1"/>
      <c r="J176" s="5">
        <f t="shared" si="77"/>
        <v>1.7814368226197821E-3</v>
      </c>
      <c r="K176" s="1"/>
      <c r="L176" s="1">
        <f t="shared" si="78"/>
        <v>3000</v>
      </c>
      <c r="M176" s="1"/>
      <c r="N176" s="5">
        <f t="shared" si="79"/>
        <v>1.4285714285714286</v>
      </c>
      <c r="O176" s="14"/>
      <c r="P176" s="1">
        <f>SUM(OSRRefP22_14x_0)</f>
        <v>39700</v>
      </c>
      <c r="Q176" s="1"/>
      <c r="R176" s="5">
        <f t="shared" si="80"/>
        <v>8.8262910639467836E-3</v>
      </c>
      <c r="S176" s="1"/>
      <c r="T176" s="1">
        <f>SUM(OSRRefT22_14x_0)</f>
        <v>19700</v>
      </c>
      <c r="U176" s="1"/>
      <c r="V176" s="5">
        <f t="shared" si="81"/>
        <v>5.0772870563514901E-3</v>
      </c>
      <c r="W176" s="1"/>
      <c r="X176" s="1">
        <f t="shared" si="82"/>
        <v>20000</v>
      </c>
      <c r="Y176" s="1"/>
      <c r="Z176" s="5">
        <f t="shared" si="83"/>
        <v>1.015228426395939</v>
      </c>
    </row>
    <row r="177" spans="1:26" s="24" customFormat="1" hidden="1" outlineLevel="2" x14ac:dyDescent="0.3">
      <c r="A177" s="27"/>
      <c r="B177" s="11" t="str">
        <f>CONCATENATE("          ", "6408", " - ", "INVENTORY ADJUSTMENT")</f>
        <v xml:space="preserve">          6408 - INVENTORY ADJUSTMENT</v>
      </c>
      <c r="C177" s="11"/>
      <c r="D177" s="7">
        <v>5100</v>
      </c>
      <c r="E177" s="2"/>
      <c r="F177" s="6">
        <f t="shared" si="76"/>
        <v>6.7071052508546119E-3</v>
      </c>
      <c r="G177" s="2"/>
      <c r="H177" s="7">
        <v>2100</v>
      </c>
      <c r="I177" s="2"/>
      <c r="J177" s="6">
        <f t="shared" si="77"/>
        <v>1.7814368226197821E-3</v>
      </c>
      <c r="K177" s="2"/>
      <c r="L177" s="7">
        <f t="shared" si="78"/>
        <v>3000</v>
      </c>
      <c r="M177" s="2"/>
      <c r="N177" s="6">
        <f t="shared" si="79"/>
        <v>1.4285714285714286</v>
      </c>
      <c r="O177" s="11"/>
      <c r="P177" s="7">
        <v>39700</v>
      </c>
      <c r="Q177" s="2"/>
      <c r="R177" s="6">
        <f t="shared" si="80"/>
        <v>8.8262910639467836E-3</v>
      </c>
      <c r="S177" s="2"/>
      <c r="T177" s="7">
        <v>19700</v>
      </c>
      <c r="U177" s="2"/>
      <c r="V177" s="6">
        <f t="shared" si="81"/>
        <v>5.0772870563514901E-3</v>
      </c>
      <c r="W177" s="2"/>
      <c r="X177" s="7">
        <f t="shared" si="82"/>
        <v>20000</v>
      </c>
      <c r="Y177" s="2"/>
      <c r="Z177" s="6">
        <f t="shared" si="83"/>
        <v>1.015228426395939</v>
      </c>
    </row>
    <row r="178" spans="1:26" s="24" customFormat="1" hidden="1" outlineLevel="2" x14ac:dyDescent="0.3">
      <c r="A178" s="27"/>
      <c r="B178" s="11" t="str">
        <f>CONCATENATE("          ", "7741", " - ", "INV. SHRINKAGE-LOGO GIFTS")</f>
        <v xml:space="preserve">          7741 - INV. SHRINKAGE-LOGO GIFTS</v>
      </c>
      <c r="C178" s="11"/>
      <c r="D178" s="7"/>
      <c r="E178" s="2"/>
      <c r="F178" s="6">
        <f t="shared" si="76"/>
        <v>0</v>
      </c>
      <c r="G178" s="2"/>
      <c r="H178" s="7"/>
      <c r="I178" s="2"/>
      <c r="J178" s="6">
        <f t="shared" si="77"/>
        <v>0</v>
      </c>
      <c r="K178" s="2"/>
      <c r="L178" s="7">
        <f t="shared" si="78"/>
        <v>0</v>
      </c>
      <c r="M178" s="2"/>
      <c r="N178" s="6">
        <f t="shared" si="79"/>
        <v>0</v>
      </c>
      <c r="O178" s="11"/>
      <c r="P178" s="7"/>
      <c r="Q178" s="2"/>
      <c r="R178" s="6">
        <f t="shared" si="80"/>
        <v>0</v>
      </c>
      <c r="S178" s="2"/>
      <c r="T178" s="7">
        <v>0</v>
      </c>
      <c r="U178" s="2"/>
      <c r="V178" s="6">
        <f t="shared" si="81"/>
        <v>0</v>
      </c>
      <c r="W178" s="2"/>
      <c r="X178" s="7">
        <f t="shared" si="82"/>
        <v>0</v>
      </c>
      <c r="Y178" s="2"/>
      <c r="Z178" s="6">
        <f t="shared" si="83"/>
        <v>0</v>
      </c>
    </row>
    <row r="179" spans="1:26" s="29" customFormat="1" outlineLevel="1" collapsed="1" x14ac:dyDescent="0.3">
      <c r="A179" s="28"/>
      <c r="B179" s="14" t="str">
        <f>CONCATENATE("     ","Professional Services                             ")</f>
        <v xml:space="preserve">     Professional Services                             </v>
      </c>
      <c r="C179" s="14"/>
      <c r="D179" s="1">
        <f>SUM(OSRRefD22_15x_0)</f>
        <v>0</v>
      </c>
      <c r="E179" s="1"/>
      <c r="F179" s="5">
        <f t="shared" ref="F179:F187" si="84">IF(D$12=0,0,D179/D$12)</f>
        <v>0</v>
      </c>
      <c r="G179" s="1"/>
      <c r="H179" s="1">
        <f>SUM(OSRRefH22_15x_0)</f>
        <v>0</v>
      </c>
      <c r="I179" s="1"/>
      <c r="J179" s="5">
        <f t="shared" ref="J179:J187" si="85">IF(H$12=0,0,H179/H$12)</f>
        <v>0</v>
      </c>
      <c r="K179" s="1"/>
      <c r="L179" s="1">
        <f t="shared" ref="L179:L187" si="86">+D179-H179</f>
        <v>0</v>
      </c>
      <c r="M179" s="1"/>
      <c r="N179" s="5">
        <f t="shared" ref="N179:N187" si="87">IF(H179=0,0,L179/H179)</f>
        <v>0</v>
      </c>
      <c r="O179" s="14"/>
      <c r="P179" s="1">
        <f>SUM(OSRRefP22_15x_0)</f>
        <v>8186.53</v>
      </c>
      <c r="Q179" s="1"/>
      <c r="R179" s="5">
        <f t="shared" ref="R179:R187" si="88">IF(P$12=0,0,P179/P$12)</f>
        <v>1.8200679240234824E-3</v>
      </c>
      <c r="S179" s="1"/>
      <c r="T179" s="1">
        <f>SUM(OSRRefT22_15x_0)</f>
        <v>0</v>
      </c>
      <c r="U179" s="1"/>
      <c r="V179" s="5">
        <f t="shared" ref="V179:V187" si="89">IF(T$12=0,0,T179/T$12)</f>
        <v>0</v>
      </c>
      <c r="W179" s="1"/>
      <c r="X179" s="1">
        <f t="shared" ref="X179:X187" si="90">+P179-T179</f>
        <v>8186.53</v>
      </c>
      <c r="Y179" s="1"/>
      <c r="Z179" s="5">
        <f t="shared" ref="Z179:Z187" si="91">IF(T179=0,0,X179/T179)</f>
        <v>0</v>
      </c>
    </row>
    <row r="180" spans="1:26" s="24" customFormat="1" hidden="1" outlineLevel="2" x14ac:dyDescent="0.3">
      <c r="A180" s="27"/>
      <c r="B180" s="11" t="str">
        <f>CONCATENATE("          ", "6336", " - ", "PROFESSIONAL SERVICES")</f>
        <v xml:space="preserve">          6336 - PROFESSIONAL SERVICES</v>
      </c>
      <c r="C180" s="11"/>
      <c r="D180" s="7"/>
      <c r="E180" s="2"/>
      <c r="F180" s="6">
        <f t="shared" si="84"/>
        <v>0</v>
      </c>
      <c r="G180" s="2"/>
      <c r="H180" s="7"/>
      <c r="I180" s="2"/>
      <c r="J180" s="6">
        <f t="shared" si="85"/>
        <v>0</v>
      </c>
      <c r="K180" s="2"/>
      <c r="L180" s="7">
        <f t="shared" si="86"/>
        <v>0</v>
      </c>
      <c r="M180" s="2"/>
      <c r="N180" s="6">
        <f t="shared" si="87"/>
        <v>0</v>
      </c>
      <c r="O180" s="11"/>
      <c r="P180" s="7">
        <v>8186.53</v>
      </c>
      <c r="Q180" s="2"/>
      <c r="R180" s="6">
        <f t="shared" si="88"/>
        <v>1.8200679240234824E-3</v>
      </c>
      <c r="S180" s="2"/>
      <c r="T180" s="7"/>
      <c r="U180" s="2"/>
      <c r="V180" s="6">
        <f t="shared" si="89"/>
        <v>0</v>
      </c>
      <c r="W180" s="2"/>
      <c r="X180" s="7">
        <f t="shared" si="90"/>
        <v>8186.53</v>
      </c>
      <c r="Y180" s="2"/>
      <c r="Z180" s="6">
        <f t="shared" si="91"/>
        <v>0</v>
      </c>
    </row>
    <row r="181" spans="1:26" s="29" customFormat="1" outlineLevel="1" collapsed="1" x14ac:dyDescent="0.3">
      <c r="A181" s="28"/>
      <c r="B181" s="14" t="str">
        <f>CONCATENATE("     ","Rent                                              ")</f>
        <v xml:space="preserve">     Rent                                              </v>
      </c>
      <c r="C181" s="14"/>
      <c r="D181" s="1">
        <f>SUM(OSRRefD22_16x_0)</f>
        <v>6100</v>
      </c>
      <c r="E181" s="1"/>
      <c r="F181" s="5">
        <f t="shared" si="84"/>
        <v>8.022223927492772E-3</v>
      </c>
      <c r="G181" s="1"/>
      <c r="H181" s="1">
        <f>SUM(OSRRefH22_16x_0)</f>
        <v>6100</v>
      </c>
      <c r="I181" s="1"/>
      <c r="J181" s="5">
        <f t="shared" si="85"/>
        <v>5.1746498180860337E-3</v>
      </c>
      <c r="K181" s="1"/>
      <c r="L181" s="1">
        <f t="shared" si="86"/>
        <v>0</v>
      </c>
      <c r="M181" s="1"/>
      <c r="N181" s="5">
        <f t="shared" si="87"/>
        <v>0</v>
      </c>
      <c r="O181" s="14"/>
      <c r="P181" s="1">
        <f>SUM(OSRRefP22_16x_0)</f>
        <v>42700</v>
      </c>
      <c r="Q181" s="1"/>
      <c r="R181" s="5">
        <f t="shared" si="88"/>
        <v>9.4932651997614009E-3</v>
      </c>
      <c r="S181" s="1"/>
      <c r="T181" s="1">
        <f>SUM(OSRRefT22_16x_0)</f>
        <v>42700</v>
      </c>
      <c r="U181" s="1"/>
      <c r="V181" s="5">
        <f t="shared" si="89"/>
        <v>1.1005084127218713E-2</v>
      </c>
      <c r="W181" s="1"/>
      <c r="X181" s="1">
        <f t="shared" si="90"/>
        <v>0</v>
      </c>
      <c r="Y181" s="1"/>
      <c r="Z181" s="5">
        <f t="shared" si="91"/>
        <v>0</v>
      </c>
    </row>
    <row r="182" spans="1:26" s="24" customFormat="1" hidden="1" outlineLevel="2" x14ac:dyDescent="0.3">
      <c r="A182" s="27"/>
      <c r="B182" s="11" t="str">
        <f>CONCATENATE("          ", "6273", " - ", "RENT")</f>
        <v xml:space="preserve">          6273 - RENT</v>
      </c>
      <c r="C182" s="11"/>
      <c r="D182" s="7">
        <v>6100</v>
      </c>
      <c r="E182" s="2"/>
      <c r="F182" s="6">
        <f t="shared" si="84"/>
        <v>8.022223927492772E-3</v>
      </c>
      <c r="G182" s="2"/>
      <c r="H182" s="7">
        <v>6100</v>
      </c>
      <c r="I182" s="2"/>
      <c r="J182" s="6">
        <f t="shared" si="85"/>
        <v>5.1746498180860337E-3</v>
      </c>
      <c r="K182" s="2"/>
      <c r="L182" s="7">
        <f t="shared" si="86"/>
        <v>0</v>
      </c>
      <c r="M182" s="2"/>
      <c r="N182" s="6">
        <f t="shared" si="87"/>
        <v>0</v>
      </c>
      <c r="O182" s="11"/>
      <c r="P182" s="7">
        <v>42700</v>
      </c>
      <c r="Q182" s="2"/>
      <c r="R182" s="6">
        <f t="shared" si="88"/>
        <v>9.4932651997614009E-3</v>
      </c>
      <c r="S182" s="2"/>
      <c r="T182" s="7">
        <v>42700</v>
      </c>
      <c r="U182" s="2"/>
      <c r="V182" s="6">
        <f t="shared" si="89"/>
        <v>1.1005084127218713E-2</v>
      </c>
      <c r="W182" s="2"/>
      <c r="X182" s="7">
        <f t="shared" si="90"/>
        <v>0</v>
      </c>
      <c r="Y182" s="2"/>
      <c r="Z182" s="6">
        <f t="shared" si="91"/>
        <v>0</v>
      </c>
    </row>
    <row r="183" spans="1:26" s="29" customFormat="1" outlineLevel="1" collapsed="1" x14ac:dyDescent="0.3">
      <c r="A183" s="28"/>
      <c r="B183" s="14" t="str">
        <f>CONCATENATE("     ","Repair and Maintenance                            ")</f>
        <v xml:space="preserve">     Repair and Maintenance                            </v>
      </c>
      <c r="C183" s="14"/>
      <c r="D183" s="1">
        <f>SUM(OSRRefD22_17x_0)</f>
        <v>11947.7</v>
      </c>
      <c r="E183" s="1"/>
      <c r="F183" s="5">
        <f t="shared" si="84"/>
        <v>1.5712643412869737E-2</v>
      </c>
      <c r="G183" s="1"/>
      <c r="H183" s="1">
        <f>SUM(OSRRefH22_17x_0)</f>
        <v>3697</v>
      </c>
      <c r="I183" s="1"/>
      <c r="J183" s="5">
        <f t="shared" si="85"/>
        <v>3.1361771110596831E-3</v>
      </c>
      <c r="K183" s="1"/>
      <c r="L183" s="1">
        <f t="shared" si="86"/>
        <v>8250.7000000000007</v>
      </c>
      <c r="M183" s="1"/>
      <c r="N183" s="5">
        <f t="shared" si="87"/>
        <v>2.2317284284555048</v>
      </c>
      <c r="O183" s="14"/>
      <c r="P183" s="1">
        <f>SUM(OSRRefP22_17x_0)</f>
        <v>112733.57</v>
      </c>
      <c r="Q183" s="1"/>
      <c r="R183" s="5">
        <f t="shared" si="88"/>
        <v>2.5063458476015595E-2</v>
      </c>
      <c r="S183" s="1"/>
      <c r="T183" s="1">
        <f>SUM(OSRRefT22_17x_0)</f>
        <v>115119.17</v>
      </c>
      <c r="U183" s="1"/>
      <c r="V183" s="5">
        <f t="shared" si="89"/>
        <v>2.9669699075072425E-2</v>
      </c>
      <c r="W183" s="1"/>
      <c r="X183" s="1">
        <f t="shared" si="90"/>
        <v>-2385.5999999999913</v>
      </c>
      <c r="Y183" s="1"/>
      <c r="Z183" s="5">
        <f t="shared" si="91"/>
        <v>-2.0722873523149891E-2</v>
      </c>
    </row>
    <row r="184" spans="1:26" s="24" customFormat="1" hidden="1" outlineLevel="2" x14ac:dyDescent="0.3">
      <c r="A184" s="27"/>
      <c r="B184" s="11" t="str">
        <f>CONCATENATE("          ", "6371", " - ", "COMPUTER SOFTWARE MAINTENANCE")</f>
        <v xml:space="preserve">          6371 - COMPUTER SOFTWARE MAINTENANCE</v>
      </c>
      <c r="C184" s="11"/>
      <c r="D184" s="7"/>
      <c r="E184" s="2"/>
      <c r="F184" s="6">
        <f t="shared" si="84"/>
        <v>0</v>
      </c>
      <c r="G184" s="2"/>
      <c r="H184" s="7"/>
      <c r="I184" s="2"/>
      <c r="J184" s="6">
        <f t="shared" si="85"/>
        <v>0</v>
      </c>
      <c r="K184" s="2"/>
      <c r="L184" s="7">
        <f t="shared" si="86"/>
        <v>0</v>
      </c>
      <c r="M184" s="2"/>
      <c r="N184" s="6">
        <f t="shared" si="87"/>
        <v>0</v>
      </c>
      <c r="O184" s="11"/>
      <c r="P184" s="7">
        <v>62511</v>
      </c>
      <c r="Q184" s="2"/>
      <c r="R184" s="6">
        <f t="shared" si="88"/>
        <v>1.3897740067969202E-2</v>
      </c>
      <c r="S184" s="2"/>
      <c r="T184" s="7">
        <v>58436.47</v>
      </c>
      <c r="U184" s="2"/>
      <c r="V184" s="6">
        <f t="shared" si="89"/>
        <v>1.50608493781661E-2</v>
      </c>
      <c r="W184" s="2"/>
      <c r="X184" s="7">
        <f t="shared" si="90"/>
        <v>4074.5299999999988</v>
      </c>
      <c r="Y184" s="2"/>
      <c r="Z184" s="6">
        <f t="shared" si="91"/>
        <v>6.972580650405473E-2</v>
      </c>
    </row>
    <row r="185" spans="1:26" s="24" customFormat="1" hidden="1" outlineLevel="2" x14ac:dyDescent="0.3">
      <c r="A185" s="27"/>
      <c r="B185" s="11" t="str">
        <f>CONCATENATE("          ", "6372", " - ", "COMPUTER HARDWARE MAINTENANCE")</f>
        <v xml:space="preserve">          6372 - COMPUTER HARDWARE MAINTENANCE</v>
      </c>
      <c r="C185" s="11"/>
      <c r="D185" s="7"/>
      <c r="E185" s="2"/>
      <c r="F185" s="6">
        <f t="shared" si="84"/>
        <v>0</v>
      </c>
      <c r="G185" s="2"/>
      <c r="H185" s="7"/>
      <c r="I185" s="2"/>
      <c r="J185" s="6">
        <f t="shared" si="85"/>
        <v>0</v>
      </c>
      <c r="K185" s="2"/>
      <c r="L185" s="7">
        <f t="shared" si="86"/>
        <v>0</v>
      </c>
      <c r="M185" s="2"/>
      <c r="N185" s="6">
        <f t="shared" si="87"/>
        <v>0</v>
      </c>
      <c r="O185" s="11"/>
      <c r="P185" s="7"/>
      <c r="Q185" s="2"/>
      <c r="R185" s="6">
        <f t="shared" si="88"/>
        <v>0</v>
      </c>
      <c r="S185" s="2"/>
      <c r="T185" s="7">
        <v>0</v>
      </c>
      <c r="U185" s="2"/>
      <c r="V185" s="6">
        <f t="shared" si="89"/>
        <v>0</v>
      </c>
      <c r="W185" s="2"/>
      <c r="X185" s="7">
        <f t="shared" si="90"/>
        <v>0</v>
      </c>
      <c r="Y185" s="2"/>
      <c r="Z185" s="6">
        <f t="shared" si="91"/>
        <v>0</v>
      </c>
    </row>
    <row r="186" spans="1:26" s="24" customFormat="1" hidden="1" outlineLevel="2" x14ac:dyDescent="0.3">
      <c r="A186" s="27"/>
      <c r="B186" s="11" t="str">
        <f>CONCATENATE("          ", "6373", " - ", "MAINTENANCE CONTRACTS")</f>
        <v xml:space="preserve">          6373 - MAINTENANCE CONTRACTS</v>
      </c>
      <c r="C186" s="11"/>
      <c r="D186" s="7">
        <v>1512.02</v>
      </c>
      <c r="E186" s="2"/>
      <c r="F186" s="6">
        <f t="shared" si="84"/>
        <v>1.9884857414504296E-3</v>
      </c>
      <c r="G186" s="2"/>
      <c r="H186" s="7">
        <v>1122</v>
      </c>
      <c r="I186" s="2"/>
      <c r="J186" s="6">
        <f t="shared" si="85"/>
        <v>9.5179624522828362E-4</v>
      </c>
      <c r="K186" s="2"/>
      <c r="L186" s="7">
        <f t="shared" si="86"/>
        <v>390.02</v>
      </c>
      <c r="M186" s="2"/>
      <c r="N186" s="6">
        <f t="shared" si="87"/>
        <v>0.34761140819964348</v>
      </c>
      <c r="O186" s="11"/>
      <c r="P186" s="7">
        <v>16812.189999999999</v>
      </c>
      <c r="Q186" s="2"/>
      <c r="R186" s="6">
        <f t="shared" si="88"/>
        <v>3.737765298800389E-3</v>
      </c>
      <c r="S186" s="2"/>
      <c r="T186" s="7">
        <v>41010.78</v>
      </c>
      <c r="U186" s="2"/>
      <c r="V186" s="6">
        <f t="shared" si="89"/>
        <v>1.0569720937303481E-2</v>
      </c>
      <c r="W186" s="2"/>
      <c r="X186" s="7">
        <f t="shared" si="90"/>
        <v>-24198.59</v>
      </c>
      <c r="Y186" s="2"/>
      <c r="Z186" s="6">
        <f t="shared" si="91"/>
        <v>-0.59005437107024061</v>
      </c>
    </row>
    <row r="187" spans="1:26" s="24" customFormat="1" hidden="1" outlineLevel="2" x14ac:dyDescent="0.3">
      <c r="A187" s="27"/>
      <c r="B187" s="11" t="str">
        <f>CONCATENATE("          ", "6375", " - ", "OUTSIDE REPAIRS &amp; MAINTENANCE")</f>
        <v xml:space="preserve">          6375 - OUTSIDE REPAIRS &amp; MAINTENANCE</v>
      </c>
      <c r="C187" s="11"/>
      <c r="D187" s="7">
        <v>10435.68</v>
      </c>
      <c r="E187" s="2"/>
      <c r="F187" s="6">
        <f t="shared" si="84"/>
        <v>1.3724157671419306E-2</v>
      </c>
      <c r="G187" s="2"/>
      <c r="H187" s="7">
        <v>2575</v>
      </c>
      <c r="I187" s="2"/>
      <c r="J187" s="6">
        <f t="shared" si="85"/>
        <v>2.1843808658313997E-3</v>
      </c>
      <c r="K187" s="2"/>
      <c r="L187" s="7">
        <f t="shared" si="86"/>
        <v>7860.68</v>
      </c>
      <c r="M187" s="2"/>
      <c r="N187" s="6">
        <f t="shared" si="87"/>
        <v>3.0526912621359226</v>
      </c>
      <c r="O187" s="11"/>
      <c r="P187" s="7">
        <v>33410.379999999997</v>
      </c>
      <c r="Q187" s="2"/>
      <c r="R187" s="6">
        <f t="shared" si="88"/>
        <v>7.4279531092460022E-3</v>
      </c>
      <c r="S187" s="2"/>
      <c r="T187" s="7">
        <v>15671.92</v>
      </c>
      <c r="U187" s="2"/>
      <c r="V187" s="6">
        <f t="shared" si="89"/>
        <v>4.0391287596028454E-3</v>
      </c>
      <c r="W187" s="2"/>
      <c r="X187" s="7">
        <f t="shared" si="90"/>
        <v>17738.46</v>
      </c>
      <c r="Y187" s="2"/>
      <c r="Z187" s="6">
        <f t="shared" si="91"/>
        <v>1.1318625924583585</v>
      </c>
    </row>
    <row r="188" spans="1:26" s="29" customFormat="1" outlineLevel="1" collapsed="1" x14ac:dyDescent="0.3">
      <c r="A188" s="28"/>
      <c r="B188" s="14" t="str">
        <f>CONCATENATE("     ","Royalty &amp; Commissions                             ")</f>
        <v xml:space="preserve">     Royalty &amp; Commissions                             </v>
      </c>
      <c r="C188" s="14"/>
      <c r="D188" s="1">
        <f>SUM(OSRRefD22_18x_0)</f>
        <v>23704.5</v>
      </c>
      <c r="E188" s="1"/>
      <c r="F188" s="5">
        <f t="shared" ref="F188:F191" si="92">IF(D$12=0,0,D188/D$12)</f>
        <v>3.1174230670369247E-2</v>
      </c>
      <c r="G188" s="1"/>
      <c r="H188" s="1">
        <f>SUM(OSRRefH22_18x_0)</f>
        <v>7789.59</v>
      </c>
      <c r="I188" s="1"/>
      <c r="J188" s="5">
        <f t="shared" ref="J188:J191" si="93">IF(H$12=0,0,H188/H$12)</f>
        <v>6.6079345043384904E-3</v>
      </c>
      <c r="K188" s="1"/>
      <c r="L188" s="1">
        <f t="shared" ref="L188:L191" si="94">+D188-H188</f>
        <v>15914.91</v>
      </c>
      <c r="M188" s="1"/>
      <c r="N188" s="5">
        <f t="shared" ref="N188:N191" si="95">IF(H188=0,0,L188/H188)</f>
        <v>2.0430998293876828</v>
      </c>
      <c r="O188" s="14"/>
      <c r="P188" s="1">
        <f>SUM(OSRRefP22_18x_0)</f>
        <v>45451.430000000008</v>
      </c>
      <c r="Q188" s="1"/>
      <c r="R188" s="5">
        <f t="shared" ref="R188:R191" si="96">IF(P$12=0,0,P188/P$12)</f>
        <v>1.0104976081929541E-2</v>
      </c>
      <c r="S188" s="1"/>
      <c r="T188" s="1">
        <f>SUM(OSRRefT22_18x_0)</f>
        <v>36551.350000000006</v>
      </c>
      <c r="U188" s="1"/>
      <c r="V188" s="5">
        <f t="shared" ref="V188:V191" si="97">IF(T$12=0,0,T188/T$12)</f>
        <v>9.4203906724453328E-3</v>
      </c>
      <c r="W188" s="1"/>
      <c r="X188" s="1">
        <f t="shared" ref="X188:X191" si="98">+P188-T188</f>
        <v>8900.0800000000017</v>
      </c>
      <c r="Y188" s="1"/>
      <c r="Z188" s="5">
        <f t="shared" ref="Z188:Z191" si="99">IF(T188=0,0,X188/T188)</f>
        <v>0.24349524709757644</v>
      </c>
    </row>
    <row r="189" spans="1:26" s="24" customFormat="1" hidden="1" outlineLevel="2" x14ac:dyDescent="0.3">
      <c r="A189" s="27"/>
      <c r="B189" s="11" t="str">
        <f>CONCATENATE("          ", "6253", " - ", "ROYALTY DUE ATHLETICS-LRG")</f>
        <v xml:space="preserve">          6253 - ROYALTY DUE ATHLETICS-LRG</v>
      </c>
      <c r="C189" s="11"/>
      <c r="D189" s="7">
        <v>16060.87</v>
      </c>
      <c r="E189" s="2"/>
      <c r="F189" s="6">
        <f t="shared" si="92"/>
        <v>2.1121950100057515E-2</v>
      </c>
      <c r="G189" s="2"/>
      <c r="H189" s="7">
        <v>7785.78</v>
      </c>
      <c r="I189" s="2"/>
      <c r="J189" s="6">
        <f t="shared" si="93"/>
        <v>6.6047024689603086E-3</v>
      </c>
      <c r="K189" s="2"/>
      <c r="L189" s="7">
        <f t="shared" si="94"/>
        <v>8275.09</v>
      </c>
      <c r="M189" s="2"/>
      <c r="N189" s="6">
        <f t="shared" si="95"/>
        <v>1.0628466255147204</v>
      </c>
      <c r="O189" s="11"/>
      <c r="P189" s="7">
        <v>39221.160000000003</v>
      </c>
      <c r="Q189" s="2"/>
      <c r="R189" s="6">
        <f t="shared" si="96"/>
        <v>8.7198330988822927E-3</v>
      </c>
      <c r="S189" s="2"/>
      <c r="T189" s="7">
        <v>26197.58</v>
      </c>
      <c r="U189" s="2"/>
      <c r="V189" s="6">
        <f t="shared" si="97"/>
        <v>6.7519103472960754E-3</v>
      </c>
      <c r="W189" s="2"/>
      <c r="X189" s="7">
        <f t="shared" si="98"/>
        <v>13023.580000000002</v>
      </c>
      <c r="Y189" s="2"/>
      <c r="Z189" s="6">
        <f t="shared" si="99"/>
        <v>0.49712912414047405</v>
      </c>
    </row>
    <row r="190" spans="1:26" s="24" customFormat="1" hidden="1" outlineLevel="2" x14ac:dyDescent="0.3">
      <c r="A190" s="27"/>
      <c r="B190" s="11" t="str">
        <f>CONCATENATE("          ", "6254", " - ", "ROYALTY &amp; COMMISSIONS")</f>
        <v xml:space="preserve">          6254 - ROYALTY &amp; COMMISSIONS</v>
      </c>
      <c r="C190" s="11"/>
      <c r="D190" s="7">
        <v>7389.19</v>
      </c>
      <c r="E190" s="2"/>
      <c r="F190" s="6">
        <f t="shared" si="92"/>
        <v>9.7176617742279203E-3</v>
      </c>
      <c r="G190" s="2"/>
      <c r="H190" s="7"/>
      <c r="I190" s="2"/>
      <c r="J190" s="6">
        <f t="shared" si="93"/>
        <v>0</v>
      </c>
      <c r="K190" s="2"/>
      <c r="L190" s="7">
        <f t="shared" si="94"/>
        <v>7389.19</v>
      </c>
      <c r="M190" s="2"/>
      <c r="N190" s="6">
        <f t="shared" si="95"/>
        <v>0</v>
      </c>
      <c r="O190" s="11"/>
      <c r="P190" s="7">
        <v>361.69</v>
      </c>
      <c r="Q190" s="2"/>
      <c r="R190" s="6">
        <f t="shared" si="96"/>
        <v>8.0412625060929775E-5</v>
      </c>
      <c r="S190" s="2"/>
      <c r="T190" s="7">
        <v>185.7</v>
      </c>
      <c r="U190" s="2"/>
      <c r="V190" s="6">
        <f t="shared" si="97"/>
        <v>4.786051808956709E-5</v>
      </c>
      <c r="W190" s="2"/>
      <c r="X190" s="7">
        <f t="shared" si="98"/>
        <v>175.99</v>
      </c>
      <c r="Y190" s="2"/>
      <c r="Z190" s="6">
        <f t="shared" si="99"/>
        <v>0.94771136241249343</v>
      </c>
    </row>
    <row r="191" spans="1:26" s="24" customFormat="1" hidden="1" outlineLevel="2" x14ac:dyDescent="0.3">
      <c r="A191" s="27"/>
      <c r="B191" s="11" t="str">
        <f>CONCATENATE("          ", "6259", " - ", "ROYALTY &amp; COMMISSIONS")</f>
        <v xml:space="preserve">          6259 - ROYALTY &amp; COMMISSIONS</v>
      </c>
      <c r="C191" s="11"/>
      <c r="D191" s="7">
        <v>254.44</v>
      </c>
      <c r="E191" s="2"/>
      <c r="F191" s="6">
        <f t="shared" si="92"/>
        <v>3.3461879608381325E-4</v>
      </c>
      <c r="G191" s="2"/>
      <c r="H191" s="7">
        <v>3.81</v>
      </c>
      <c r="I191" s="2"/>
      <c r="J191" s="6">
        <f t="shared" si="93"/>
        <v>3.2320353781816051E-6</v>
      </c>
      <c r="K191" s="2"/>
      <c r="L191" s="7">
        <f t="shared" si="94"/>
        <v>250.63</v>
      </c>
      <c r="M191" s="2"/>
      <c r="N191" s="6">
        <f t="shared" si="95"/>
        <v>65.782152230971121</v>
      </c>
      <c r="O191" s="11"/>
      <c r="P191" s="7">
        <v>5868.58</v>
      </c>
      <c r="Q191" s="2"/>
      <c r="R191" s="6">
        <f t="shared" si="96"/>
        <v>1.3047303579863177E-3</v>
      </c>
      <c r="S191" s="2"/>
      <c r="T191" s="7">
        <v>10168.07</v>
      </c>
      <c r="U191" s="2"/>
      <c r="V191" s="6">
        <f t="shared" si="97"/>
        <v>2.6206198070596902E-3</v>
      </c>
      <c r="W191" s="2"/>
      <c r="X191" s="7">
        <f t="shared" si="98"/>
        <v>-4299.49</v>
      </c>
      <c r="Y191" s="2"/>
      <c r="Z191" s="6">
        <f t="shared" si="99"/>
        <v>-0.4228422896380532</v>
      </c>
    </row>
    <row r="192" spans="1:26" s="29" customFormat="1" outlineLevel="1" collapsed="1" x14ac:dyDescent="0.3">
      <c r="A192" s="28"/>
      <c r="B192" s="14" t="str">
        <f>CONCATENATE("     ","Services                                          ")</f>
        <v xml:space="preserve">     Services                                          </v>
      </c>
      <c r="C192" s="14"/>
      <c r="D192" s="1">
        <f>SUM(OSRRefD22_19x_0)</f>
        <v>4723.32</v>
      </c>
      <c r="E192" s="1"/>
      <c r="F192" s="5">
        <f t="shared" ref="F192:F197" si="100">IF(D$12=0,0,D192/D$12)</f>
        <v>6.2117263477385496E-3</v>
      </c>
      <c r="G192" s="1"/>
      <c r="H192" s="1">
        <f>SUM(OSRRefH22_19x_0)</f>
        <v>6605.9</v>
      </c>
      <c r="I192" s="1"/>
      <c r="J192" s="5">
        <f t="shared" ref="J192:J197" si="101">IF(H$12=0,0,H192/H$12)</f>
        <v>5.6038064316876277E-3</v>
      </c>
      <c r="K192" s="1"/>
      <c r="L192" s="1">
        <f t="shared" ref="L192:L197" si="102">+D192-H192</f>
        <v>-1882.58</v>
      </c>
      <c r="M192" s="1"/>
      <c r="N192" s="5">
        <f t="shared" ref="N192:N197" si="103">IF(H192=0,0,L192/H192)</f>
        <v>-0.28498463494754689</v>
      </c>
      <c r="O192" s="14"/>
      <c r="P192" s="1">
        <f>SUM(OSRRefP22_19x_0)</f>
        <v>50313.249999999993</v>
      </c>
      <c r="Q192" s="1"/>
      <c r="R192" s="5">
        <f t="shared" ref="R192:R197" si="104">IF(P$12=0,0,P192/P$12)</f>
        <v>1.1185878812924948E-2</v>
      </c>
      <c r="S192" s="1"/>
      <c r="T192" s="1">
        <f>SUM(OSRRefT22_19x_0)</f>
        <v>26143.54</v>
      </c>
      <c r="U192" s="1"/>
      <c r="V192" s="5">
        <f t="shared" ref="V192:V197" si="105">IF(T$12=0,0,T192/T$12)</f>
        <v>6.7379826014826111E-3</v>
      </c>
      <c r="W192" s="1"/>
      <c r="X192" s="1">
        <f t="shared" ref="X192:X197" si="106">+P192-T192</f>
        <v>24169.709999999992</v>
      </c>
      <c r="Y192" s="1"/>
      <c r="Z192" s="5">
        <f t="shared" ref="Z192:Z197" si="107">IF(T192=0,0,X192/T192)</f>
        <v>0.92450027808016788</v>
      </c>
    </row>
    <row r="193" spans="1:26" s="24" customFormat="1" hidden="1" outlineLevel="2" x14ac:dyDescent="0.3">
      <c r="A193" s="27"/>
      <c r="B193" s="11" t="str">
        <f>CONCATENATE("          ", "6282", " - ", "JANITORIAL/EXTERMINATOR EXPENS")</f>
        <v xml:space="preserve">          6282 - JANITORIAL/EXTERMINATOR EXPENS</v>
      </c>
      <c r="C193" s="11"/>
      <c r="D193" s="7">
        <v>220.85</v>
      </c>
      <c r="E193" s="2"/>
      <c r="F193" s="6">
        <f t="shared" si="100"/>
        <v>2.9044395973553745E-4</v>
      </c>
      <c r="G193" s="2"/>
      <c r="H193" s="7">
        <v>2384.33</v>
      </c>
      <c r="I193" s="2"/>
      <c r="J193" s="6">
        <f t="shared" si="101"/>
        <v>2.0226348853700118E-3</v>
      </c>
      <c r="K193" s="2"/>
      <c r="L193" s="7">
        <f t="shared" si="102"/>
        <v>-2163.48</v>
      </c>
      <c r="M193" s="2"/>
      <c r="N193" s="6">
        <f t="shared" si="103"/>
        <v>-0.90737439867803538</v>
      </c>
      <c r="O193" s="11"/>
      <c r="P193" s="7">
        <v>4267.03</v>
      </c>
      <c r="Q193" s="2"/>
      <c r="R193" s="6">
        <f t="shared" si="104"/>
        <v>9.4866621558168361E-4</v>
      </c>
      <c r="S193" s="2"/>
      <c r="T193" s="7">
        <v>8304.94</v>
      </c>
      <c r="U193" s="2"/>
      <c r="V193" s="6">
        <f t="shared" si="105"/>
        <v>2.1404347393794796E-3</v>
      </c>
      <c r="W193" s="2"/>
      <c r="X193" s="7">
        <f t="shared" si="106"/>
        <v>-4037.9100000000008</v>
      </c>
      <c r="Y193" s="2"/>
      <c r="Z193" s="6">
        <f t="shared" si="107"/>
        <v>-0.4862058004031336</v>
      </c>
    </row>
    <row r="194" spans="1:26" s="24" customFormat="1" hidden="1" outlineLevel="2" x14ac:dyDescent="0.3">
      <c r="A194" s="27"/>
      <c r="B194" s="11" t="str">
        <f>CONCATENATE("          ", "6283", " - ", "PLANT SERVICE")</f>
        <v xml:space="preserve">          6283 - PLANT SERVICE</v>
      </c>
      <c r="C194" s="11"/>
      <c r="D194" s="7"/>
      <c r="E194" s="2"/>
      <c r="F194" s="6">
        <f t="shared" si="100"/>
        <v>0</v>
      </c>
      <c r="G194" s="2"/>
      <c r="H194" s="7"/>
      <c r="I194" s="2"/>
      <c r="J194" s="6">
        <f t="shared" si="101"/>
        <v>0</v>
      </c>
      <c r="K194" s="2"/>
      <c r="L194" s="7">
        <f t="shared" si="102"/>
        <v>0</v>
      </c>
      <c r="M194" s="2"/>
      <c r="N194" s="6">
        <f t="shared" si="103"/>
        <v>0</v>
      </c>
      <c r="O194" s="11"/>
      <c r="P194" s="7"/>
      <c r="Q194" s="2"/>
      <c r="R194" s="6">
        <f t="shared" si="104"/>
        <v>0</v>
      </c>
      <c r="S194" s="2"/>
      <c r="T194" s="7">
        <v>171.31</v>
      </c>
      <c r="U194" s="2"/>
      <c r="V194" s="6">
        <f t="shared" si="105"/>
        <v>4.4151778965663645E-5</v>
      </c>
      <c r="W194" s="2"/>
      <c r="X194" s="7">
        <f t="shared" si="106"/>
        <v>-171.31</v>
      </c>
      <c r="Y194" s="2"/>
      <c r="Z194" s="6">
        <f t="shared" si="107"/>
        <v>-1</v>
      </c>
    </row>
    <row r="195" spans="1:26" s="24" customFormat="1" hidden="1" outlineLevel="2" x14ac:dyDescent="0.3">
      <c r="A195" s="27"/>
      <c r="B195" s="11" t="str">
        <f>CONCATENATE("          ", "6284", " - ", "TRASH REMOVAL EXPENSE")</f>
        <v xml:space="preserve">          6284 - TRASH REMOVAL EXPENSE</v>
      </c>
      <c r="C195" s="11"/>
      <c r="D195" s="7">
        <v>149.69999999999999</v>
      </c>
      <c r="E195" s="2"/>
      <c r="F195" s="6">
        <f t="shared" si="100"/>
        <v>1.9687326589273242E-4</v>
      </c>
      <c r="G195" s="2"/>
      <c r="H195" s="7">
        <v>431.57</v>
      </c>
      <c r="I195" s="2"/>
      <c r="J195" s="6">
        <f t="shared" si="101"/>
        <v>3.6610223311334258E-4</v>
      </c>
      <c r="K195" s="2"/>
      <c r="L195" s="7">
        <f t="shared" si="102"/>
        <v>-281.87</v>
      </c>
      <c r="M195" s="2"/>
      <c r="N195" s="6">
        <f t="shared" si="103"/>
        <v>-0.65312695507101981</v>
      </c>
      <c r="O195" s="11"/>
      <c r="P195" s="7">
        <v>1040.77</v>
      </c>
      <c r="Q195" s="2"/>
      <c r="R195" s="6">
        <f t="shared" si="104"/>
        <v>2.3138889044392678E-4</v>
      </c>
      <c r="S195" s="2"/>
      <c r="T195" s="7">
        <v>1880.01</v>
      </c>
      <c r="U195" s="2"/>
      <c r="V195" s="6">
        <f t="shared" si="105"/>
        <v>4.8453555526961243E-4</v>
      </c>
      <c r="W195" s="2"/>
      <c r="X195" s="7">
        <f t="shared" si="106"/>
        <v>-839.24</v>
      </c>
      <c r="Y195" s="2"/>
      <c r="Z195" s="6">
        <f t="shared" si="107"/>
        <v>-0.44640188084105936</v>
      </c>
    </row>
    <row r="196" spans="1:26" s="24" customFormat="1" hidden="1" outlineLevel="2" x14ac:dyDescent="0.3">
      <c r="A196" s="27"/>
      <c r="B196" s="11" t="str">
        <f>CONCATENATE("          ", "6285", " - ", "JANITORIAL SERVICES")</f>
        <v xml:space="preserve">          6285 - JANITORIAL SERVICES</v>
      </c>
      <c r="C196" s="11"/>
      <c r="D196" s="7">
        <v>4238.6099999999997</v>
      </c>
      <c r="E196" s="2"/>
      <c r="F196" s="6">
        <f t="shared" si="100"/>
        <v>5.5742751739852681E-3</v>
      </c>
      <c r="G196" s="2"/>
      <c r="H196" s="7">
        <v>3790</v>
      </c>
      <c r="I196" s="2"/>
      <c r="J196" s="6">
        <f t="shared" si="101"/>
        <v>3.2150693132042738E-3</v>
      </c>
      <c r="K196" s="2"/>
      <c r="L196" s="7">
        <f t="shared" si="102"/>
        <v>448.60999999999967</v>
      </c>
      <c r="M196" s="2"/>
      <c r="N196" s="6">
        <f t="shared" si="103"/>
        <v>0.11836675461741417</v>
      </c>
      <c r="O196" s="11"/>
      <c r="P196" s="7">
        <v>44465.49</v>
      </c>
      <c r="Q196" s="2"/>
      <c r="R196" s="6">
        <f t="shared" si="104"/>
        <v>9.8857772554411839E-3</v>
      </c>
      <c r="S196" s="2"/>
      <c r="T196" s="7">
        <v>15787.28</v>
      </c>
      <c r="U196" s="2"/>
      <c r="V196" s="6">
        <f t="shared" si="105"/>
        <v>4.0688605278678559E-3</v>
      </c>
      <c r="W196" s="2"/>
      <c r="X196" s="7">
        <f t="shared" si="106"/>
        <v>28678.21</v>
      </c>
      <c r="Y196" s="2"/>
      <c r="Z196" s="6">
        <f t="shared" si="107"/>
        <v>1.8165390111532829</v>
      </c>
    </row>
    <row r="197" spans="1:26" s="24" customFormat="1" hidden="1" outlineLevel="2" x14ac:dyDescent="0.3">
      <c r="A197" s="27"/>
      <c r="B197" s="11" t="str">
        <f>CONCATENATE("          ", "6286", " - ", "LAUNDRY EXPENSE")</f>
        <v xml:space="preserve">          6286 - LAUNDRY EXPENSE</v>
      </c>
      <c r="C197" s="11"/>
      <c r="D197" s="7">
        <v>114.16</v>
      </c>
      <c r="E197" s="2"/>
      <c r="F197" s="6">
        <f t="shared" si="100"/>
        <v>1.5013394812501225E-4</v>
      </c>
      <c r="G197" s="2"/>
      <c r="H197" s="7"/>
      <c r="I197" s="2"/>
      <c r="J197" s="6">
        <f t="shared" si="101"/>
        <v>0</v>
      </c>
      <c r="K197" s="2"/>
      <c r="L197" s="7">
        <f t="shared" si="102"/>
        <v>114.16</v>
      </c>
      <c r="M197" s="2"/>
      <c r="N197" s="6">
        <f t="shared" si="103"/>
        <v>0</v>
      </c>
      <c r="O197" s="11"/>
      <c r="P197" s="7">
        <v>539.96</v>
      </c>
      <c r="Q197" s="2"/>
      <c r="R197" s="6">
        <f t="shared" si="104"/>
        <v>1.2004645145815379E-4</v>
      </c>
      <c r="S197" s="2"/>
      <c r="T197" s="7"/>
      <c r="U197" s="2"/>
      <c r="V197" s="6">
        <f t="shared" si="105"/>
        <v>0</v>
      </c>
      <c r="W197" s="2"/>
      <c r="X197" s="7">
        <f t="shared" si="106"/>
        <v>539.96</v>
      </c>
      <c r="Y197" s="2"/>
      <c r="Z197" s="6">
        <f t="shared" si="107"/>
        <v>0</v>
      </c>
    </row>
    <row r="198" spans="1:26" s="29" customFormat="1" outlineLevel="1" collapsed="1" x14ac:dyDescent="0.3">
      <c r="A198" s="28"/>
      <c r="B198" s="14" t="str">
        <f>CONCATENATE("     ","Subscriptions &amp; Dues                              ")</f>
        <v xml:space="preserve">     Subscriptions &amp; Dues                              </v>
      </c>
      <c r="C198" s="14"/>
      <c r="D198" s="1">
        <f>SUM(OSRRefD22_20x_0)</f>
        <v>301.99</v>
      </c>
      <c r="E198" s="1"/>
      <c r="F198" s="5">
        <f t="shared" ref="F198:F200" si="108">IF(D$12=0,0,D198/D$12)</f>
        <v>3.9715268915795771E-4</v>
      </c>
      <c r="G198" s="1"/>
      <c r="H198" s="1">
        <f>SUM(OSRRefH22_20x_0)</f>
        <v>2389.69</v>
      </c>
      <c r="I198" s="1"/>
      <c r="J198" s="5">
        <f t="shared" ref="J198:J200" si="109">IF(H$12=0,0,H198/H$12)</f>
        <v>2.0271817907839369E-3</v>
      </c>
      <c r="K198" s="1"/>
      <c r="L198" s="1">
        <f t="shared" ref="L198:L200" si="110">+D198-H198</f>
        <v>-2087.6999999999998</v>
      </c>
      <c r="M198" s="1"/>
      <c r="N198" s="5">
        <f t="shared" ref="N198:N200" si="111">IF(H198=0,0,L198/H198)</f>
        <v>-0.87362796011198096</v>
      </c>
      <c r="O198" s="14"/>
      <c r="P198" s="1">
        <f>SUM(OSRRefP22_20x_0)</f>
        <v>1693.73</v>
      </c>
      <c r="Q198" s="1"/>
      <c r="R198" s="5">
        <f t="shared" ref="R198:R200" si="112">IF(P$12=0,0,P198/P$12)</f>
        <v>3.7655803435109785E-4</v>
      </c>
      <c r="S198" s="1"/>
      <c r="T198" s="1">
        <f>SUM(OSRRefT22_20x_0)</f>
        <v>3845.13</v>
      </c>
      <c r="U198" s="1"/>
      <c r="V198" s="5">
        <f t="shared" ref="V198:V200" si="113">IF(T$12=0,0,T198/T$12)</f>
        <v>9.9100653700450792E-4</v>
      </c>
      <c r="W198" s="1"/>
      <c r="X198" s="1">
        <f t="shared" ref="X198:X200" si="114">+P198-T198</f>
        <v>-2151.4</v>
      </c>
      <c r="Y198" s="1"/>
      <c r="Z198" s="5">
        <f t="shared" ref="Z198:Z200" si="115">IF(T198=0,0,X198/T198)</f>
        <v>-0.55951294234525228</v>
      </c>
    </row>
    <row r="199" spans="1:26" s="24" customFormat="1" hidden="1" outlineLevel="2" x14ac:dyDescent="0.3">
      <c r="A199" s="27"/>
      <c r="B199" s="11" t="str">
        <f>CONCATENATE("          ", "6258", " - ", "MEMBERSHIP DUES")</f>
        <v xml:space="preserve">          6258 - MEMBERSHIP DUES</v>
      </c>
      <c r="C199" s="11"/>
      <c r="D199" s="7">
        <v>301.99</v>
      </c>
      <c r="E199" s="2"/>
      <c r="F199" s="6">
        <f t="shared" si="108"/>
        <v>3.9715268915795771E-4</v>
      </c>
      <c r="G199" s="2"/>
      <c r="H199" s="7">
        <v>462.61</v>
      </c>
      <c r="I199" s="2"/>
      <c r="J199" s="6">
        <f t="shared" si="109"/>
        <v>3.9243356595816068E-4</v>
      </c>
      <c r="K199" s="2"/>
      <c r="L199" s="7">
        <f t="shared" si="110"/>
        <v>-160.62</v>
      </c>
      <c r="M199" s="2"/>
      <c r="N199" s="6">
        <f t="shared" si="111"/>
        <v>-0.34720390825965713</v>
      </c>
      <c r="O199" s="11"/>
      <c r="P199" s="7">
        <v>1693.73</v>
      </c>
      <c r="Q199" s="2"/>
      <c r="R199" s="6">
        <f t="shared" si="112"/>
        <v>3.7655803435109785E-4</v>
      </c>
      <c r="S199" s="2"/>
      <c r="T199" s="7">
        <v>1692.32</v>
      </c>
      <c r="U199" s="2"/>
      <c r="V199" s="6">
        <f t="shared" si="113"/>
        <v>4.3616215386826159E-4</v>
      </c>
      <c r="W199" s="2"/>
      <c r="X199" s="7">
        <f t="shared" si="114"/>
        <v>1.4100000000000819</v>
      </c>
      <c r="Y199" s="2"/>
      <c r="Z199" s="6">
        <f t="shared" si="115"/>
        <v>8.3317575872180318E-4</v>
      </c>
    </row>
    <row r="200" spans="1:26" s="24" customFormat="1" hidden="1" outlineLevel="2" x14ac:dyDescent="0.3">
      <c r="A200" s="27"/>
      <c r="B200" s="11" t="str">
        <f>CONCATENATE("          ", "6275", " - ", "SUBSCRIPTIONS")</f>
        <v xml:space="preserve">          6275 - SUBSCRIPTIONS</v>
      </c>
      <c r="C200" s="11"/>
      <c r="D200" s="7"/>
      <c r="E200" s="2"/>
      <c r="F200" s="6">
        <f t="shared" si="108"/>
        <v>0</v>
      </c>
      <c r="G200" s="2"/>
      <c r="H200" s="7">
        <v>1927.08</v>
      </c>
      <c r="I200" s="2"/>
      <c r="J200" s="6">
        <f t="shared" si="109"/>
        <v>1.6347482248257762E-3</v>
      </c>
      <c r="K200" s="2"/>
      <c r="L200" s="7">
        <f t="shared" si="110"/>
        <v>-1927.08</v>
      </c>
      <c r="M200" s="2"/>
      <c r="N200" s="6">
        <f t="shared" si="111"/>
        <v>-1</v>
      </c>
      <c r="O200" s="11"/>
      <c r="P200" s="7"/>
      <c r="Q200" s="2"/>
      <c r="R200" s="6">
        <f t="shared" si="112"/>
        <v>0</v>
      </c>
      <c r="S200" s="2"/>
      <c r="T200" s="7">
        <v>2152.81</v>
      </c>
      <c r="U200" s="2"/>
      <c r="V200" s="6">
        <f t="shared" si="113"/>
        <v>5.5484438313624623E-4</v>
      </c>
      <c r="W200" s="2"/>
      <c r="X200" s="7">
        <f t="shared" si="114"/>
        <v>-2152.81</v>
      </c>
      <c r="Y200" s="2"/>
      <c r="Z200" s="6">
        <f t="shared" si="115"/>
        <v>-1</v>
      </c>
    </row>
    <row r="201" spans="1:26" s="29" customFormat="1" outlineLevel="1" collapsed="1" x14ac:dyDescent="0.3">
      <c r="A201" s="28"/>
      <c r="B201" s="14" t="str">
        <f>CONCATENATE("     ","Supplies                                          ")</f>
        <v xml:space="preserve">     Supplies                                          </v>
      </c>
      <c r="C201" s="14"/>
      <c r="D201" s="1">
        <f>SUM(OSRRefD22_21x_0)</f>
        <v>4259.04</v>
      </c>
      <c r="E201" s="1"/>
      <c r="F201" s="5">
        <f t="shared" ref="F201:F208" si="116">IF(D$12=0,0,D201/D$12)</f>
        <v>5.6011430485489854E-3</v>
      </c>
      <c r="G201" s="1"/>
      <c r="H201" s="1">
        <f>SUM(OSRRefH22_21x_0)</f>
        <v>13676.5</v>
      </c>
      <c r="I201" s="1"/>
      <c r="J201" s="5">
        <f t="shared" ref="J201:J208" si="117">IF(H$12=0,0,H201/H$12)</f>
        <v>1.1601819383123548E-2</v>
      </c>
      <c r="K201" s="1"/>
      <c r="L201" s="1">
        <f t="shared" ref="L201:L208" si="118">+D201-H201</f>
        <v>-9417.4599999999991</v>
      </c>
      <c r="M201" s="1"/>
      <c r="N201" s="5">
        <f t="shared" ref="N201:N208" si="119">IF(H201=0,0,L201/H201)</f>
        <v>-0.68858699228603804</v>
      </c>
      <c r="O201" s="14"/>
      <c r="P201" s="1">
        <f>SUM(OSRRefP22_21x_0)</f>
        <v>59740.12</v>
      </c>
      <c r="Q201" s="1"/>
      <c r="R201" s="5">
        <f t="shared" ref="R201:R208" si="120">IF(P$12=0,0,P201/P$12)</f>
        <v>1.3281704970153867E-2</v>
      </c>
      <c r="S201" s="1"/>
      <c r="T201" s="1">
        <f>SUM(OSRRefT22_21x_0)</f>
        <v>92096.69</v>
      </c>
      <c r="U201" s="1"/>
      <c r="V201" s="5">
        <f t="shared" ref="V201:V208" si="121">IF(T$12=0,0,T201/T$12)</f>
        <v>2.37361082268942E-2</v>
      </c>
      <c r="W201" s="1"/>
      <c r="X201" s="1">
        <f t="shared" ref="X201:X208" si="122">+P201-T201</f>
        <v>-32356.57</v>
      </c>
      <c r="Y201" s="1"/>
      <c r="Z201" s="5">
        <f t="shared" ref="Z201:Z208" si="123">IF(T201=0,0,X201/T201)</f>
        <v>-0.35133260489600654</v>
      </c>
    </row>
    <row r="202" spans="1:26" s="24" customFormat="1" hidden="1" outlineLevel="2" x14ac:dyDescent="0.3">
      <c r="A202" s="27"/>
      <c r="B202" s="11" t="str">
        <f>CONCATENATE("          ", "6234", " - ", "EXPENDABLE SUPPLIES &amp; EQUIPMEN")</f>
        <v xml:space="preserve">          6234 - EXPENDABLE SUPPLIES &amp; EQUIPMEN</v>
      </c>
      <c r="C202" s="11"/>
      <c r="D202" s="7"/>
      <c r="E202" s="2"/>
      <c r="F202" s="6">
        <f t="shared" si="116"/>
        <v>0</v>
      </c>
      <c r="G202" s="2"/>
      <c r="H202" s="7">
        <v>396.5</v>
      </c>
      <c r="I202" s="2"/>
      <c r="J202" s="6">
        <f t="shared" si="117"/>
        <v>3.363522381755922E-4</v>
      </c>
      <c r="K202" s="2"/>
      <c r="L202" s="7">
        <f t="shared" si="118"/>
        <v>-396.5</v>
      </c>
      <c r="M202" s="2"/>
      <c r="N202" s="6">
        <f t="shared" si="119"/>
        <v>-1</v>
      </c>
      <c r="O202" s="11"/>
      <c r="P202" s="7">
        <v>6484.46</v>
      </c>
      <c r="Q202" s="2"/>
      <c r="R202" s="6">
        <f t="shared" si="120"/>
        <v>1.44165570157482E-3</v>
      </c>
      <c r="S202" s="2"/>
      <c r="T202" s="7">
        <v>263.83</v>
      </c>
      <c r="U202" s="2"/>
      <c r="V202" s="6">
        <f t="shared" si="121"/>
        <v>6.7996987008995616E-5</v>
      </c>
      <c r="W202" s="2"/>
      <c r="X202" s="7">
        <f t="shared" si="122"/>
        <v>6220.63</v>
      </c>
      <c r="Y202" s="2"/>
      <c r="Z202" s="6">
        <f t="shared" si="123"/>
        <v>23.578175340181179</v>
      </c>
    </row>
    <row r="203" spans="1:26" s="24" customFormat="1" hidden="1" outlineLevel="2" x14ac:dyDescent="0.3">
      <c r="A203" s="27"/>
      <c r="B203" s="11" t="str">
        <f>CONCATENATE("          ", "6235", " - ", "COVID-19 EXPENSES")</f>
        <v xml:space="preserve">          6235 - COVID-19 EXPENSES</v>
      </c>
      <c r="C203" s="11"/>
      <c r="D203" s="7"/>
      <c r="E203" s="2"/>
      <c r="F203" s="6">
        <f t="shared" si="116"/>
        <v>0</v>
      </c>
      <c r="G203" s="2"/>
      <c r="H203" s="7">
        <v>2921.2</v>
      </c>
      <c r="I203" s="2"/>
      <c r="J203" s="6">
        <f t="shared" si="117"/>
        <v>2.4780634505890036E-3</v>
      </c>
      <c r="K203" s="2"/>
      <c r="L203" s="7">
        <f t="shared" si="118"/>
        <v>-2921.2</v>
      </c>
      <c r="M203" s="2"/>
      <c r="N203" s="6">
        <f t="shared" si="119"/>
        <v>-1</v>
      </c>
      <c r="O203" s="11"/>
      <c r="P203" s="7">
        <v>3430.32</v>
      </c>
      <c r="Q203" s="2"/>
      <c r="R203" s="6">
        <f t="shared" si="120"/>
        <v>7.6264490585586724E-4</v>
      </c>
      <c r="S203" s="2"/>
      <c r="T203" s="7">
        <v>34506.300000000003</v>
      </c>
      <c r="U203" s="2"/>
      <c r="V203" s="6">
        <f t="shared" si="121"/>
        <v>8.8933193072376366E-3</v>
      </c>
      <c r="W203" s="2"/>
      <c r="X203" s="7">
        <f t="shared" si="122"/>
        <v>-31075.980000000003</v>
      </c>
      <c r="Y203" s="2"/>
      <c r="Z203" s="6">
        <f t="shared" si="123"/>
        <v>-0.90058858817085574</v>
      </c>
    </row>
    <row r="204" spans="1:26" s="24" customFormat="1" hidden="1" outlineLevel="2" x14ac:dyDescent="0.3">
      <c r="A204" s="27"/>
      <c r="B204" s="11" t="str">
        <f>CONCATENATE("          ", "6237", " - ", "JANITORIAL SUPPLIES")</f>
        <v xml:space="preserve">          6237 - JANITORIAL SUPPLIES</v>
      </c>
      <c r="C204" s="11"/>
      <c r="D204" s="7">
        <v>716.54</v>
      </c>
      <c r="E204" s="2"/>
      <c r="F204" s="6">
        <f t="shared" si="116"/>
        <v>9.4233513655830664E-4</v>
      </c>
      <c r="G204" s="2"/>
      <c r="H204" s="7">
        <v>329.77</v>
      </c>
      <c r="I204" s="2"/>
      <c r="J204" s="6">
        <f t="shared" si="117"/>
        <v>2.7974496237872647E-4</v>
      </c>
      <c r="K204" s="2"/>
      <c r="L204" s="7">
        <f t="shared" si="118"/>
        <v>386.77</v>
      </c>
      <c r="M204" s="2"/>
      <c r="N204" s="6">
        <f t="shared" si="119"/>
        <v>1.1728477423658914</v>
      </c>
      <c r="O204" s="11"/>
      <c r="P204" s="7">
        <v>5186.3999999999996</v>
      </c>
      <c r="Q204" s="2"/>
      <c r="R204" s="6">
        <f t="shared" si="120"/>
        <v>1.1530648859963122E-3</v>
      </c>
      <c r="S204" s="2"/>
      <c r="T204" s="7">
        <v>2581.2199999999998</v>
      </c>
      <c r="U204" s="2"/>
      <c r="V204" s="6">
        <f t="shared" si="121"/>
        <v>6.6525862414190825E-4</v>
      </c>
      <c r="W204" s="2"/>
      <c r="X204" s="7">
        <f t="shared" si="122"/>
        <v>2605.1799999999998</v>
      </c>
      <c r="Y204" s="2"/>
      <c r="Z204" s="6">
        <f t="shared" si="123"/>
        <v>1.0092824323381966</v>
      </c>
    </row>
    <row r="205" spans="1:26" s="24" customFormat="1" hidden="1" outlineLevel="2" x14ac:dyDescent="0.3">
      <c r="A205" s="27"/>
      <c r="B205" s="11" t="str">
        <f>CONCATENATE("          ", "6241", " - ", "OFFICE EXPENSE")</f>
        <v xml:space="preserve">          6241 - OFFICE EXPENSE</v>
      </c>
      <c r="C205" s="11"/>
      <c r="D205" s="7">
        <v>617.54</v>
      </c>
      <c r="E205" s="2"/>
      <c r="F205" s="6">
        <f t="shared" si="116"/>
        <v>8.1213838757112885E-4</v>
      </c>
      <c r="G205" s="2"/>
      <c r="H205" s="7">
        <v>444.2</v>
      </c>
      <c r="I205" s="2"/>
      <c r="J205" s="6">
        <f t="shared" si="117"/>
        <v>3.7681630314652728E-4</v>
      </c>
      <c r="K205" s="2"/>
      <c r="L205" s="7">
        <f t="shared" si="118"/>
        <v>173.33999999999997</v>
      </c>
      <c r="M205" s="2"/>
      <c r="N205" s="6">
        <f t="shared" si="119"/>
        <v>0.3902296262944619</v>
      </c>
      <c r="O205" s="11"/>
      <c r="P205" s="7">
        <v>9228.51</v>
      </c>
      <c r="Q205" s="2"/>
      <c r="R205" s="6">
        <f t="shared" si="120"/>
        <v>2.0517258273688548E-3</v>
      </c>
      <c r="S205" s="2"/>
      <c r="T205" s="7">
        <v>9363.17</v>
      </c>
      <c r="U205" s="2"/>
      <c r="V205" s="6">
        <f t="shared" si="121"/>
        <v>2.4131726826100803E-3</v>
      </c>
      <c r="W205" s="2"/>
      <c r="X205" s="7">
        <f t="shared" si="122"/>
        <v>-134.65999999999985</v>
      </c>
      <c r="Y205" s="2"/>
      <c r="Z205" s="6">
        <f t="shared" si="123"/>
        <v>-1.4381881350012855E-2</v>
      </c>
    </row>
    <row r="206" spans="1:26" s="24" customFormat="1" hidden="1" outlineLevel="2" x14ac:dyDescent="0.3">
      <c r="A206" s="27"/>
      <c r="B206" s="11" t="str">
        <f>CONCATENATE("          ", "6243", " - ", "PAPER SUPPLIES")</f>
        <v xml:space="preserve">          6243 - PAPER SUPPLIES</v>
      </c>
      <c r="C206" s="11"/>
      <c r="D206" s="7">
        <v>122.72</v>
      </c>
      <c r="E206" s="2"/>
      <c r="F206" s="6">
        <f t="shared" si="116"/>
        <v>1.6139136399703489E-4</v>
      </c>
      <c r="G206" s="2"/>
      <c r="H206" s="7">
        <v>1080</v>
      </c>
      <c r="I206" s="2"/>
      <c r="J206" s="6">
        <f t="shared" si="117"/>
        <v>9.1616750877588802E-4</v>
      </c>
      <c r="K206" s="2"/>
      <c r="L206" s="7">
        <f t="shared" si="118"/>
        <v>-957.28</v>
      </c>
      <c r="M206" s="2"/>
      <c r="N206" s="6">
        <f t="shared" si="119"/>
        <v>-0.88637037037037036</v>
      </c>
      <c r="O206" s="11"/>
      <c r="P206" s="7">
        <v>4593.62</v>
      </c>
      <c r="Q206" s="2"/>
      <c r="R206" s="6">
        <f t="shared" si="120"/>
        <v>1.0212752432535823E-3</v>
      </c>
      <c r="S206" s="2"/>
      <c r="T206" s="7">
        <v>6173.4</v>
      </c>
      <c r="U206" s="2"/>
      <c r="V206" s="6">
        <f t="shared" si="121"/>
        <v>1.591072279882248E-3</v>
      </c>
      <c r="W206" s="2"/>
      <c r="X206" s="7">
        <f t="shared" si="122"/>
        <v>-1579.7799999999997</v>
      </c>
      <c r="Y206" s="2"/>
      <c r="Z206" s="6">
        <f t="shared" si="123"/>
        <v>-0.2559011241779246</v>
      </c>
    </row>
    <row r="207" spans="1:26" s="24" customFormat="1" hidden="1" outlineLevel="2" x14ac:dyDescent="0.3">
      <c r="A207" s="27"/>
      <c r="B207" s="11" t="str">
        <f>CONCATENATE("          ", "6245", " - ", "PRINTING")</f>
        <v xml:space="preserve">          6245 - PRINTING</v>
      </c>
      <c r="C207" s="11"/>
      <c r="D207" s="7">
        <v>689.76</v>
      </c>
      <c r="E207" s="2"/>
      <c r="F207" s="6">
        <f t="shared" si="116"/>
        <v>9.0711625839793675E-4</v>
      </c>
      <c r="G207" s="2"/>
      <c r="H207" s="7"/>
      <c r="I207" s="2"/>
      <c r="J207" s="6">
        <f t="shared" si="117"/>
        <v>0</v>
      </c>
      <c r="K207" s="2"/>
      <c r="L207" s="7">
        <f t="shared" si="118"/>
        <v>689.76</v>
      </c>
      <c r="M207" s="2"/>
      <c r="N207" s="6">
        <f t="shared" si="119"/>
        <v>0</v>
      </c>
      <c r="O207" s="11"/>
      <c r="P207" s="7">
        <v>2801.74</v>
      </c>
      <c r="Q207" s="2"/>
      <c r="R207" s="6">
        <f t="shared" si="120"/>
        <v>6.2289603842574951E-4</v>
      </c>
      <c r="S207" s="2"/>
      <c r="T207" s="7">
        <v>508.27</v>
      </c>
      <c r="U207" s="2"/>
      <c r="V207" s="6">
        <f t="shared" si="121"/>
        <v>1.3099658335694273E-4</v>
      </c>
      <c r="W207" s="2"/>
      <c r="X207" s="7">
        <f t="shared" si="122"/>
        <v>2293.4699999999998</v>
      </c>
      <c r="Y207" s="2"/>
      <c r="Z207" s="6">
        <f t="shared" si="123"/>
        <v>4.5123064512955713</v>
      </c>
    </row>
    <row r="208" spans="1:26" s="24" customFormat="1" hidden="1" outlineLevel="2" x14ac:dyDescent="0.3">
      <c r="A208" s="27"/>
      <c r="B208" s="11" t="str">
        <f>CONCATENATE("          ", "6247", " - ", "STORE SUPPLIES")</f>
        <v xml:space="preserve">          6247 - STORE SUPPLIES</v>
      </c>
      <c r="C208" s="11"/>
      <c r="D208" s="7">
        <v>2112.48</v>
      </c>
      <c r="E208" s="2"/>
      <c r="F208" s="6">
        <f t="shared" si="116"/>
        <v>2.7781619020245786E-3</v>
      </c>
      <c r="G208" s="2"/>
      <c r="H208" s="7">
        <v>8504.83</v>
      </c>
      <c r="I208" s="2"/>
      <c r="J208" s="6">
        <f t="shared" si="117"/>
        <v>7.2146749200578102E-3</v>
      </c>
      <c r="K208" s="2"/>
      <c r="L208" s="7">
        <f t="shared" si="118"/>
        <v>-6392.35</v>
      </c>
      <c r="M208" s="2"/>
      <c r="N208" s="6">
        <f t="shared" si="119"/>
        <v>-0.75161408282117348</v>
      </c>
      <c r="O208" s="11"/>
      <c r="P208" s="7">
        <v>28015.07</v>
      </c>
      <c r="Q208" s="2"/>
      <c r="R208" s="6">
        <f t="shared" si="120"/>
        <v>6.2284423676786799E-3</v>
      </c>
      <c r="S208" s="2"/>
      <c r="T208" s="7">
        <v>38700.5</v>
      </c>
      <c r="U208" s="2"/>
      <c r="V208" s="6">
        <f t="shared" si="121"/>
        <v>9.9742917626563874E-3</v>
      </c>
      <c r="W208" s="2"/>
      <c r="X208" s="7">
        <f t="shared" si="122"/>
        <v>-10685.43</v>
      </c>
      <c r="Y208" s="2"/>
      <c r="Z208" s="6">
        <f t="shared" si="123"/>
        <v>-0.27610573506802238</v>
      </c>
    </row>
    <row r="209" spans="1:26" s="29" customFormat="1" outlineLevel="1" collapsed="1" x14ac:dyDescent="0.3">
      <c r="A209" s="28"/>
      <c r="B209" s="14" t="str">
        <f>CONCATENATE("     ","Telephone/Data Lines                              ")</f>
        <v xml:space="preserve">     Telephone/Data Lines                              </v>
      </c>
      <c r="C209" s="14"/>
      <c r="D209" s="1">
        <f>SUM(OSRRefD22_22x_0)</f>
        <v>1945.23</v>
      </c>
      <c r="E209" s="1"/>
      <c r="F209" s="5">
        <f t="shared" ref="F209:F211" si="124">IF(D$12=0,0,D209/D$12)</f>
        <v>2.5582083033568463E-3</v>
      </c>
      <c r="G209" s="1"/>
      <c r="H209" s="1">
        <f>SUM(OSRRefH22_22x_0)</f>
        <v>2487.31</v>
      </c>
      <c r="I209" s="1"/>
      <c r="J209" s="5">
        <f t="shared" ref="J209:J211" si="125">IF(H$12=0,0,H209/H$12)</f>
        <v>2.1099931539382906E-3</v>
      </c>
      <c r="K209" s="1"/>
      <c r="L209" s="1">
        <f t="shared" ref="L209:L211" si="126">+D209-H209</f>
        <v>-542.07999999999993</v>
      </c>
      <c r="M209" s="1"/>
      <c r="N209" s="5">
        <f t="shared" ref="N209:N211" si="127">IF(H209=0,0,L209/H209)</f>
        <v>-0.21793825458024932</v>
      </c>
      <c r="O209" s="14"/>
      <c r="P209" s="1">
        <f>SUM(OSRRefP22_22x_0)</f>
        <v>13758.59</v>
      </c>
      <c r="Q209" s="1"/>
      <c r="R209" s="5">
        <f t="shared" ref="R209:R211" si="128">IF(P$12=0,0,P209/P$12)</f>
        <v>3.0588745584258833E-3</v>
      </c>
      <c r="S209" s="1"/>
      <c r="T209" s="1">
        <f>SUM(OSRRefT22_22x_0)</f>
        <v>20175.79</v>
      </c>
      <c r="U209" s="1"/>
      <c r="V209" s="5">
        <f t="shared" ref="V209:V211" si="129">IF(T$12=0,0,T209/T$12)</f>
        <v>5.1999125593231391E-3</v>
      </c>
      <c r="W209" s="1"/>
      <c r="X209" s="1">
        <f t="shared" ref="X209:X211" si="130">+P209-T209</f>
        <v>-6417.2000000000007</v>
      </c>
      <c r="Y209" s="1"/>
      <c r="Z209" s="5">
        <f t="shared" ref="Z209:Z211" si="131">IF(T209=0,0,X209/T209)</f>
        <v>-0.31806437319183045</v>
      </c>
    </row>
    <row r="210" spans="1:26" s="24" customFormat="1" hidden="1" outlineLevel="2" x14ac:dyDescent="0.3">
      <c r="A210" s="27"/>
      <c r="B210" s="11" t="str">
        <f>CONCATENATE("          ", "6303", " - ", "DATA PHONE LINES")</f>
        <v xml:space="preserve">          6303 - DATA PHONE LINES</v>
      </c>
      <c r="C210" s="11"/>
      <c r="D210" s="7"/>
      <c r="E210" s="2"/>
      <c r="F210" s="6">
        <f t="shared" si="124"/>
        <v>0</v>
      </c>
      <c r="G210" s="2"/>
      <c r="H210" s="7">
        <v>295</v>
      </c>
      <c r="I210" s="2"/>
      <c r="J210" s="6">
        <f t="shared" si="125"/>
        <v>2.5024945841563609E-4</v>
      </c>
      <c r="K210" s="2"/>
      <c r="L210" s="7">
        <f t="shared" si="126"/>
        <v>-295</v>
      </c>
      <c r="M210" s="2"/>
      <c r="N210" s="6">
        <f t="shared" si="127"/>
        <v>-1</v>
      </c>
      <c r="O210" s="11"/>
      <c r="P210" s="7">
        <v>295</v>
      </c>
      <c r="Q210" s="2"/>
      <c r="R210" s="6">
        <f t="shared" si="128"/>
        <v>6.5585790021770811E-5</v>
      </c>
      <c r="S210" s="2"/>
      <c r="T210" s="7">
        <v>2360</v>
      </c>
      <c r="U210" s="2"/>
      <c r="V210" s="6">
        <f t="shared" si="129"/>
        <v>6.0824352553246277E-4</v>
      </c>
      <c r="W210" s="2"/>
      <c r="X210" s="7">
        <f t="shared" si="130"/>
        <v>-2065</v>
      </c>
      <c r="Y210" s="2"/>
      <c r="Z210" s="6">
        <f t="shared" si="131"/>
        <v>-0.875</v>
      </c>
    </row>
    <row r="211" spans="1:26" s="24" customFormat="1" hidden="1" outlineLevel="2" x14ac:dyDescent="0.3">
      <c r="A211" s="27"/>
      <c r="B211" s="11" t="str">
        <f>CONCATENATE("          ", "6309", " - ", "TELEPHONE")</f>
        <v xml:space="preserve">          6309 - TELEPHONE</v>
      </c>
      <c r="C211" s="11"/>
      <c r="D211" s="7">
        <v>1945.23</v>
      </c>
      <c r="E211" s="2"/>
      <c r="F211" s="6">
        <f t="shared" si="124"/>
        <v>2.5582083033568463E-3</v>
      </c>
      <c r="G211" s="2"/>
      <c r="H211" s="7">
        <v>2192.31</v>
      </c>
      <c r="I211" s="2"/>
      <c r="J211" s="6">
        <f t="shared" si="125"/>
        <v>1.8597436955226545E-3</v>
      </c>
      <c r="K211" s="2"/>
      <c r="L211" s="7">
        <f t="shared" si="126"/>
        <v>-247.07999999999993</v>
      </c>
      <c r="M211" s="2"/>
      <c r="N211" s="6">
        <f t="shared" si="127"/>
        <v>-0.11270303925995864</v>
      </c>
      <c r="O211" s="11"/>
      <c r="P211" s="7">
        <v>13463.59</v>
      </c>
      <c r="Q211" s="2"/>
      <c r="R211" s="6">
        <f t="shared" si="128"/>
        <v>2.9932887684041127E-3</v>
      </c>
      <c r="S211" s="2"/>
      <c r="T211" s="7">
        <v>17815.79</v>
      </c>
      <c r="U211" s="2"/>
      <c r="V211" s="6">
        <f t="shared" si="129"/>
        <v>4.5916690337906765E-3</v>
      </c>
      <c r="W211" s="2"/>
      <c r="X211" s="7">
        <f t="shared" si="130"/>
        <v>-4352.2000000000007</v>
      </c>
      <c r="Y211" s="2"/>
      <c r="Z211" s="6">
        <f t="shared" si="131"/>
        <v>-0.24428891449663476</v>
      </c>
    </row>
    <row r="212" spans="1:26" s="29" customFormat="1" outlineLevel="1" collapsed="1" x14ac:dyDescent="0.3">
      <c r="A212" s="28"/>
      <c r="B212" s="14" t="str">
        <f>CONCATENATE("     ","Training                                          ")</f>
        <v xml:space="preserve">     Training                                          </v>
      </c>
      <c r="C212" s="14"/>
      <c r="D212" s="1">
        <f>SUM(OSRRefD22_23x_0)</f>
        <v>0</v>
      </c>
      <c r="E212" s="1"/>
      <c r="F212" s="5">
        <f t="shared" ref="F212:F217" si="132">IF(D$12=0,0,D212/D$12)</f>
        <v>0</v>
      </c>
      <c r="G212" s="1"/>
      <c r="H212" s="1">
        <f>SUM(OSRRefH22_23x_0)</f>
        <v>0</v>
      </c>
      <c r="I212" s="1"/>
      <c r="J212" s="5">
        <f t="shared" ref="J212:J217" si="133">IF(H$12=0,0,H212/H$12)</f>
        <v>0</v>
      </c>
      <c r="K212" s="1"/>
      <c r="L212" s="1">
        <f t="shared" ref="L212:L217" si="134">+D212-H212</f>
        <v>0</v>
      </c>
      <c r="M212" s="1"/>
      <c r="N212" s="5">
        <f t="shared" ref="N212:N217" si="135">IF(H212=0,0,L212/H212)</f>
        <v>0</v>
      </c>
      <c r="O212" s="14"/>
      <c r="P212" s="1">
        <f>SUM(OSRRefP22_23x_0)</f>
        <v>595</v>
      </c>
      <c r="Q212" s="1"/>
      <c r="R212" s="5">
        <f t="shared" ref="R212:R217" si="136">IF(P$12=0,0,P212/P$12)</f>
        <v>1.3228320360323263E-4</v>
      </c>
      <c r="S212" s="1"/>
      <c r="T212" s="1">
        <f>SUM(OSRRefT22_23x_0)</f>
        <v>145.63</v>
      </c>
      <c r="U212" s="1"/>
      <c r="V212" s="5">
        <f t="shared" ref="V212:V217" si="137">IF(T$12=0,0,T212/T$12)</f>
        <v>3.7533264670886676E-5</v>
      </c>
      <c r="W212" s="1"/>
      <c r="X212" s="1">
        <f t="shared" ref="X212:X217" si="138">+P212-T212</f>
        <v>449.37</v>
      </c>
      <c r="Y212" s="1"/>
      <c r="Z212" s="5">
        <f t="shared" ref="Z212:Z217" si="139">IF(T212=0,0,X212/T212)</f>
        <v>3.085696628441942</v>
      </c>
    </row>
    <row r="213" spans="1:26" s="24" customFormat="1" hidden="1" outlineLevel="2" x14ac:dyDescent="0.3">
      <c r="A213" s="27"/>
      <c r="B213" s="11" t="str">
        <f>CONCATENATE("          ", "6376", " - ", "TRAINING")</f>
        <v xml:space="preserve">          6376 - TRAINING</v>
      </c>
      <c r="C213" s="11"/>
      <c r="D213" s="7"/>
      <c r="E213" s="2"/>
      <c r="F213" s="6">
        <f t="shared" si="132"/>
        <v>0</v>
      </c>
      <c r="G213" s="2"/>
      <c r="H213" s="7"/>
      <c r="I213" s="2"/>
      <c r="J213" s="6">
        <f t="shared" si="133"/>
        <v>0</v>
      </c>
      <c r="K213" s="2"/>
      <c r="L213" s="7">
        <f t="shared" si="134"/>
        <v>0</v>
      </c>
      <c r="M213" s="2"/>
      <c r="N213" s="6">
        <f t="shared" si="135"/>
        <v>0</v>
      </c>
      <c r="O213" s="11"/>
      <c r="P213" s="7">
        <v>595</v>
      </c>
      <c r="Q213" s="2"/>
      <c r="R213" s="6">
        <f t="shared" si="136"/>
        <v>1.3228320360323263E-4</v>
      </c>
      <c r="S213" s="2"/>
      <c r="T213" s="7">
        <v>145.63</v>
      </c>
      <c r="U213" s="2"/>
      <c r="V213" s="6">
        <f t="shared" si="137"/>
        <v>3.7533264670886676E-5</v>
      </c>
      <c r="W213" s="2"/>
      <c r="X213" s="7">
        <f t="shared" si="138"/>
        <v>449.37</v>
      </c>
      <c r="Y213" s="2"/>
      <c r="Z213" s="6">
        <f t="shared" si="139"/>
        <v>3.085696628441942</v>
      </c>
    </row>
    <row r="214" spans="1:26" s="29" customFormat="1" outlineLevel="1" collapsed="1" x14ac:dyDescent="0.3">
      <c r="A214" s="28"/>
      <c r="B214" s="14" t="str">
        <f>CONCATENATE("     ","Travel                                            ")</f>
        <v xml:space="preserve">     Travel                                            </v>
      </c>
      <c r="C214" s="14"/>
      <c r="D214" s="1">
        <f>SUM(OSRRefD22_24x_0)</f>
        <v>0</v>
      </c>
      <c r="E214" s="1"/>
      <c r="F214" s="5">
        <f t="shared" si="132"/>
        <v>0</v>
      </c>
      <c r="G214" s="1"/>
      <c r="H214" s="1">
        <f>SUM(OSRRefH22_24x_0)</f>
        <v>129.38</v>
      </c>
      <c r="I214" s="1"/>
      <c r="J214" s="5">
        <f t="shared" si="133"/>
        <v>1.0975347433835591E-4</v>
      </c>
      <c r="K214" s="1"/>
      <c r="L214" s="1">
        <f t="shared" si="134"/>
        <v>-129.38</v>
      </c>
      <c r="M214" s="1"/>
      <c r="N214" s="5">
        <f t="shared" si="135"/>
        <v>-1</v>
      </c>
      <c r="O214" s="14"/>
      <c r="P214" s="1">
        <f>SUM(OSRRefP22_24x_0)</f>
        <v>882.0100000000001</v>
      </c>
      <c r="Q214" s="1"/>
      <c r="R214" s="5">
        <f t="shared" si="136"/>
        <v>1.9609261917661721E-4</v>
      </c>
      <c r="S214" s="1"/>
      <c r="T214" s="1">
        <f>SUM(OSRRefT22_24x_0)</f>
        <v>810.31000000000006</v>
      </c>
      <c r="U214" s="1"/>
      <c r="V214" s="5">
        <f t="shared" si="137"/>
        <v>2.0884144541280083E-4</v>
      </c>
      <c r="W214" s="1"/>
      <c r="X214" s="1">
        <f t="shared" si="138"/>
        <v>71.700000000000045</v>
      </c>
      <c r="Y214" s="1"/>
      <c r="Z214" s="5">
        <f t="shared" si="139"/>
        <v>8.8484654021300541E-2</v>
      </c>
    </row>
    <row r="215" spans="1:26" s="24" customFormat="1" hidden="1" outlineLevel="2" x14ac:dyDescent="0.3">
      <c r="A215" s="27"/>
      <c r="B215" s="11" t="str">
        <f>CONCATENATE("          ", "6292", " - ", "TRAVEL/CONFERENCE")</f>
        <v xml:space="preserve">          6292 - TRAVEL/CONFERENCE</v>
      </c>
      <c r="C215" s="11"/>
      <c r="D215" s="7"/>
      <c r="E215" s="2"/>
      <c r="F215" s="6">
        <f t="shared" si="132"/>
        <v>0</v>
      </c>
      <c r="G215" s="2"/>
      <c r="H215" s="7"/>
      <c r="I215" s="2"/>
      <c r="J215" s="6">
        <f t="shared" si="133"/>
        <v>0</v>
      </c>
      <c r="K215" s="2"/>
      <c r="L215" s="7">
        <f t="shared" si="134"/>
        <v>0</v>
      </c>
      <c r="M215" s="2"/>
      <c r="N215" s="6">
        <f t="shared" si="135"/>
        <v>0</v>
      </c>
      <c r="O215" s="11"/>
      <c r="P215" s="7">
        <v>495</v>
      </c>
      <c r="Q215" s="2"/>
      <c r="R215" s="6">
        <f t="shared" si="136"/>
        <v>1.1005073240941203E-4</v>
      </c>
      <c r="S215" s="2"/>
      <c r="T215" s="7">
        <v>299.16000000000003</v>
      </c>
      <c r="U215" s="2"/>
      <c r="V215" s="6">
        <f t="shared" si="137"/>
        <v>7.7102598770462542E-5</v>
      </c>
      <c r="W215" s="2"/>
      <c r="X215" s="7">
        <f t="shared" si="138"/>
        <v>195.83999999999997</v>
      </c>
      <c r="Y215" s="2"/>
      <c r="Z215" s="6">
        <f t="shared" si="139"/>
        <v>0.65463297232250284</v>
      </c>
    </row>
    <row r="216" spans="1:26" s="24" customFormat="1" hidden="1" outlineLevel="2" x14ac:dyDescent="0.3">
      <c r="A216" s="27"/>
      <c r="B216" s="11" t="str">
        <f>CONCATENATE("          ", "6294", " - ", "TRAVEL OPERATIONAL")</f>
        <v xml:space="preserve">          6294 - TRAVEL OPERATIONAL</v>
      </c>
      <c r="C216" s="11"/>
      <c r="D216" s="7"/>
      <c r="E216" s="2"/>
      <c r="F216" s="6">
        <f t="shared" si="132"/>
        <v>0</v>
      </c>
      <c r="G216" s="2"/>
      <c r="H216" s="7">
        <v>129.38</v>
      </c>
      <c r="I216" s="2"/>
      <c r="J216" s="6">
        <f t="shared" si="133"/>
        <v>1.0975347433835591E-4</v>
      </c>
      <c r="K216" s="2"/>
      <c r="L216" s="7">
        <f t="shared" si="134"/>
        <v>-129.38</v>
      </c>
      <c r="M216" s="2"/>
      <c r="N216" s="6">
        <f t="shared" si="135"/>
        <v>-1</v>
      </c>
      <c r="O216" s="11"/>
      <c r="P216" s="7">
        <v>239.93</v>
      </c>
      <c r="Q216" s="2"/>
      <c r="R216" s="6">
        <f t="shared" si="136"/>
        <v>5.3342368135333793E-5</v>
      </c>
      <c r="S216" s="2"/>
      <c r="T216" s="7">
        <v>451.26</v>
      </c>
      <c r="U216" s="2"/>
      <c r="V216" s="6">
        <f t="shared" si="137"/>
        <v>1.163033785304149E-4</v>
      </c>
      <c r="W216" s="2"/>
      <c r="X216" s="7">
        <f t="shared" si="138"/>
        <v>-211.32999999999998</v>
      </c>
      <c r="Y216" s="2"/>
      <c r="Z216" s="6">
        <f t="shared" si="139"/>
        <v>-0.46831095155786018</v>
      </c>
    </row>
    <row r="217" spans="1:26" s="24" customFormat="1" hidden="1" outlineLevel="2" x14ac:dyDescent="0.3">
      <c r="A217" s="27"/>
      <c r="B217" s="11" t="str">
        <f>CONCATENATE("          ", "6298", " - ", "VEHICLE MILEAGE")</f>
        <v xml:space="preserve">          6298 - VEHICLE MILEAGE</v>
      </c>
      <c r="C217" s="11"/>
      <c r="D217" s="7"/>
      <c r="E217" s="2"/>
      <c r="F217" s="6">
        <f t="shared" si="132"/>
        <v>0</v>
      </c>
      <c r="G217" s="2"/>
      <c r="H217" s="7"/>
      <c r="I217" s="2"/>
      <c r="J217" s="6">
        <f t="shared" si="133"/>
        <v>0</v>
      </c>
      <c r="K217" s="2"/>
      <c r="L217" s="7">
        <f t="shared" si="134"/>
        <v>0</v>
      </c>
      <c r="M217" s="2"/>
      <c r="N217" s="6">
        <f t="shared" si="135"/>
        <v>0</v>
      </c>
      <c r="O217" s="11"/>
      <c r="P217" s="7">
        <v>147.08000000000001</v>
      </c>
      <c r="Q217" s="2"/>
      <c r="R217" s="6">
        <f t="shared" si="136"/>
        <v>3.2699518631871356E-5</v>
      </c>
      <c r="S217" s="2"/>
      <c r="T217" s="7">
        <v>59.89</v>
      </c>
      <c r="U217" s="2"/>
      <c r="V217" s="6">
        <f t="shared" si="137"/>
        <v>1.5435468111923387E-5</v>
      </c>
      <c r="W217" s="2"/>
      <c r="X217" s="7">
        <f t="shared" si="138"/>
        <v>87.190000000000012</v>
      </c>
      <c r="Y217" s="2"/>
      <c r="Z217" s="6">
        <f t="shared" si="139"/>
        <v>1.455835698781099</v>
      </c>
    </row>
    <row r="218" spans="1:26" s="29" customFormat="1" outlineLevel="1" collapsed="1" x14ac:dyDescent="0.3">
      <c r="A218" s="28"/>
      <c r="B218" s="14" t="str">
        <f>CONCATENATE("     ","Utilities                                         ")</f>
        <v xml:space="preserve">     Utilities                                         </v>
      </c>
      <c r="C218" s="14"/>
      <c r="D218" s="1">
        <f>SUM(OSRRefD22_25x_0)</f>
        <v>6392.91</v>
      </c>
      <c r="E218" s="1"/>
      <c r="F218" s="5">
        <f t="shared" ref="F218:F219" si="140">IF(D$12=0,0,D218/D$12)</f>
        <v>8.407435339066854E-3</v>
      </c>
      <c r="G218" s="1"/>
      <c r="H218" s="1">
        <f>SUM(OSRRefH22_25x_0)</f>
        <v>7301.61</v>
      </c>
      <c r="I218" s="1"/>
      <c r="J218" s="5">
        <f t="shared" ref="J218:J219" si="141">IF(H$12=0,0,H218/H$12)</f>
        <v>6.1939794849565841E-3</v>
      </c>
      <c r="K218" s="1"/>
      <c r="L218" s="1">
        <f t="shared" ref="L218:L219" si="142">+D218-H218</f>
        <v>-908.69999999999982</v>
      </c>
      <c r="M218" s="1"/>
      <c r="N218" s="5">
        <f t="shared" ref="N218:N219" si="143">IF(H218=0,0,L218/H218)</f>
        <v>-0.12445200442094276</v>
      </c>
      <c r="O218" s="14"/>
      <c r="P218" s="1">
        <f>SUM(OSRRefP22_25x_0)</f>
        <v>37239.42</v>
      </c>
      <c r="Q218" s="1"/>
      <c r="R218" s="5">
        <f t="shared" ref="R218:R219" si="144">IF(P$12=0,0,P218/P$12)</f>
        <v>8.2792433242458718E-3</v>
      </c>
      <c r="S218" s="1"/>
      <c r="T218" s="1">
        <f>SUM(OSRRefT22_25x_0)</f>
        <v>47621.03</v>
      </c>
      <c r="U218" s="1"/>
      <c r="V218" s="5">
        <f t="shared" ref="V218:V219" si="145">IF(T$12=0,0,T218/T$12)</f>
        <v>1.2273382701986092E-2</v>
      </c>
      <c r="W218" s="1"/>
      <c r="X218" s="1">
        <f t="shared" ref="X218:X219" si="146">+P218-T218</f>
        <v>-10381.61</v>
      </c>
      <c r="Y218" s="1"/>
      <c r="Z218" s="5">
        <f t="shared" ref="Z218:Z219" si="147">IF(T218=0,0,X218/T218)</f>
        <v>-0.21800473446290433</v>
      </c>
    </row>
    <row r="219" spans="1:26" s="24" customFormat="1" hidden="1" outlineLevel="2" x14ac:dyDescent="0.3">
      <c r="A219" s="27"/>
      <c r="B219" s="11" t="str">
        <f>CONCATENATE("          ", "6274", " - ", "UTILITIES")</f>
        <v xml:space="preserve">          6274 - UTILITIES</v>
      </c>
      <c r="C219" s="11"/>
      <c r="D219" s="7">
        <v>6392.91</v>
      </c>
      <c r="E219" s="2"/>
      <c r="F219" s="6">
        <f t="shared" si="140"/>
        <v>8.407435339066854E-3</v>
      </c>
      <c r="G219" s="2"/>
      <c r="H219" s="7">
        <v>7301.61</v>
      </c>
      <c r="I219" s="2"/>
      <c r="J219" s="6">
        <f t="shared" si="141"/>
        <v>6.1939794849565841E-3</v>
      </c>
      <c r="K219" s="2"/>
      <c r="L219" s="7">
        <f t="shared" si="142"/>
        <v>-908.69999999999982</v>
      </c>
      <c r="M219" s="2"/>
      <c r="N219" s="6">
        <f t="shared" si="143"/>
        <v>-0.12445200442094276</v>
      </c>
      <c r="O219" s="11"/>
      <c r="P219" s="7">
        <v>37239.42</v>
      </c>
      <c r="Q219" s="2"/>
      <c r="R219" s="6">
        <f t="shared" si="144"/>
        <v>8.2792433242458718E-3</v>
      </c>
      <c r="S219" s="2"/>
      <c r="T219" s="7">
        <v>47621.03</v>
      </c>
      <c r="U219" s="2"/>
      <c r="V219" s="6">
        <f t="shared" si="145"/>
        <v>1.2273382701986092E-2</v>
      </c>
      <c r="W219" s="2"/>
      <c r="X219" s="7">
        <f t="shared" si="146"/>
        <v>-10381.61</v>
      </c>
      <c r="Y219" s="2"/>
      <c r="Z219" s="6">
        <f t="shared" si="147"/>
        <v>-0.21800473446290433</v>
      </c>
    </row>
    <row r="220" spans="1:26" s="52" customFormat="1" x14ac:dyDescent="0.3">
      <c r="A220" s="37"/>
      <c r="B220" s="37"/>
      <c r="C220" s="37"/>
      <c r="D220" s="1"/>
      <c r="E220" s="1"/>
      <c r="F220" s="5"/>
      <c r="G220" s="1"/>
      <c r="H220" s="1"/>
      <c r="I220" s="1"/>
      <c r="J220" s="5"/>
      <c r="K220" s="1"/>
      <c r="L220" s="1"/>
      <c r="M220" s="1"/>
      <c r="N220" s="5"/>
      <c r="O220" s="37"/>
      <c r="P220" s="1"/>
      <c r="Q220" s="1"/>
      <c r="R220" s="5"/>
      <c r="S220" s="1"/>
      <c r="T220" s="1"/>
      <c r="U220" s="1"/>
      <c r="V220" s="5"/>
      <c r="W220" s="1"/>
      <c r="X220" s="1"/>
      <c r="Y220" s="1"/>
      <c r="Z220" s="5"/>
    </row>
    <row r="221" spans="1:26" s="23" customFormat="1" collapsed="1" x14ac:dyDescent="0.3">
      <c r="A221" s="10"/>
      <c r="B221" s="26" t="s">
        <v>292</v>
      </c>
      <c r="C221" s="10"/>
      <c r="D221" s="4">
        <f>SUM(OSRRefD25x_0)</f>
        <v>45989.700000000004</v>
      </c>
      <c r="E221" s="4"/>
      <c r="F221" s="12">
        <f t="shared" ref="F221:F225" si="148">IF(D$12=0,0,D221/D$12)</f>
        <v>6.0481913402985955E-2</v>
      </c>
      <c r="G221" s="4"/>
      <c r="H221" s="4">
        <f>SUM(OSRRefH25x_0)</f>
        <v>31989.34</v>
      </c>
      <c r="I221" s="4"/>
      <c r="J221" s="12">
        <f t="shared" ref="J221:J225" si="149">IF(H$12=0,0,H221/H$12)</f>
        <v>2.7136661051097098E-2</v>
      </c>
      <c r="K221" s="4"/>
      <c r="L221" s="4">
        <f t="shared" ref="L221:L225" si="150">+D221-H221</f>
        <v>14000.360000000004</v>
      </c>
      <c r="M221" s="4"/>
      <c r="N221" s="12">
        <f t="shared" ref="N221:N225" si="151">IF(H221=0,0,L221/H221)</f>
        <v>0.43765704450295018</v>
      </c>
      <c r="O221" s="10"/>
      <c r="P221" s="4">
        <f>SUM(OSRRefP25x_0)</f>
        <v>515898.42</v>
      </c>
      <c r="Q221" s="4"/>
      <c r="R221" s="12">
        <f t="shared" ref="R221:R225" si="152">IF(P$12=0,0,P221/P$12)</f>
        <v>0.11469696761587567</v>
      </c>
      <c r="S221" s="4"/>
      <c r="T221" s="4">
        <f>SUM(OSRRefT25x_0)</f>
        <v>576378.61</v>
      </c>
      <c r="U221" s="4"/>
      <c r="V221" s="12">
        <f t="shared" ref="V221:V225" si="153">IF(T$12=0,0,T221/T$12)</f>
        <v>0.14855023635080525</v>
      </c>
      <c r="W221" s="4"/>
      <c r="X221" s="4">
        <f t="shared" ref="X221:X225" si="154">+P221-T221</f>
        <v>-60480.19</v>
      </c>
      <c r="Y221" s="4"/>
      <c r="Z221" s="12">
        <f t="shared" ref="Z221:Z225" si="155">IF(T221=0,0,X221/T221)</f>
        <v>-0.10493135753250803</v>
      </c>
    </row>
    <row r="222" spans="1:26" s="24" customFormat="1" hidden="1" outlineLevel="1" x14ac:dyDescent="0.3">
      <c r="A222" s="44"/>
      <c r="B222" s="11" t="str">
        <f>CONCATENATE("          ", "9150", " - ", "MISC. INCOME")</f>
        <v xml:space="preserve">          9150 - MISC. INCOME</v>
      </c>
      <c r="C222" s="11"/>
      <c r="D222" s="2">
        <f>--35637.01</f>
        <v>35637.01</v>
      </c>
      <c r="E222" s="2"/>
      <c r="F222" s="19">
        <f t="shared" si="148"/>
        <v>4.6866897430540851E-2</v>
      </c>
      <c r="G222" s="2"/>
      <c r="H222" s="2">
        <f>--29871.01</f>
        <v>29871.01</v>
      </c>
      <c r="I222" s="2"/>
      <c r="J222" s="19">
        <f t="shared" si="149"/>
        <v>2.533967482992559E-2</v>
      </c>
      <c r="K222" s="2"/>
      <c r="L222" s="2">
        <f t="shared" si="150"/>
        <v>5766.0000000000036</v>
      </c>
      <c r="M222" s="2"/>
      <c r="N222" s="19">
        <f t="shared" si="151"/>
        <v>0.19302996450404603</v>
      </c>
      <c r="O222" s="11"/>
      <c r="P222" s="2">
        <f>--261207.07</f>
        <v>261207.07</v>
      </c>
      <c r="Q222" s="2"/>
      <c r="R222" s="19">
        <f t="shared" si="152"/>
        <v>5.8072786593972844E-2</v>
      </c>
      <c r="S222" s="2"/>
      <c r="T222" s="2">
        <f>--248483.12</f>
        <v>248483.12</v>
      </c>
      <c r="U222" s="2"/>
      <c r="V222" s="19">
        <f t="shared" si="153"/>
        <v>6.4041630908519498E-2</v>
      </c>
      <c r="W222" s="2"/>
      <c r="X222" s="2">
        <f t="shared" si="154"/>
        <v>12723.950000000012</v>
      </c>
      <c r="Y222" s="2"/>
      <c r="Z222" s="19">
        <f t="shared" si="155"/>
        <v>5.120649644128749E-2</v>
      </c>
    </row>
    <row r="223" spans="1:26" s="24" customFormat="1" hidden="1" outlineLevel="1" x14ac:dyDescent="0.3">
      <c r="A223" s="44"/>
      <c r="B223" s="11" t="str">
        <f>CONCATENATE("          ", "9151", " - ", "MISC. INCOME")</f>
        <v xml:space="preserve">          9151 - MISC. INCOME</v>
      </c>
      <c r="C223" s="11"/>
      <c r="D223" s="2">
        <f>--2958.75</f>
        <v>2958.75</v>
      </c>
      <c r="E223" s="2"/>
      <c r="F223" s="19">
        <f t="shared" si="148"/>
        <v>3.8911073845031537E-3</v>
      </c>
      <c r="G223" s="2"/>
      <c r="H223" s="2">
        <f>--1972</f>
        <v>1972</v>
      </c>
      <c r="I223" s="2"/>
      <c r="J223" s="19">
        <f t="shared" si="149"/>
        <v>1.6728540067648622E-3</v>
      </c>
      <c r="K223" s="2"/>
      <c r="L223" s="2">
        <f t="shared" si="150"/>
        <v>986.75</v>
      </c>
      <c r="M223" s="2"/>
      <c r="N223" s="19">
        <f t="shared" si="151"/>
        <v>0.50038032454361059</v>
      </c>
      <c r="O223" s="11"/>
      <c r="P223" s="2">
        <f>--171422.11</f>
        <v>171422.11</v>
      </c>
      <c r="Q223" s="2"/>
      <c r="R223" s="19">
        <f t="shared" si="152"/>
        <v>3.8111371225589483E-2</v>
      </c>
      <c r="S223" s="2"/>
      <c r="T223" s="2">
        <f>--149257.39</f>
        <v>149257.39000000001</v>
      </c>
      <c r="U223" s="2"/>
      <c r="V223" s="19">
        <f t="shared" si="153"/>
        <v>3.8468153010751592E-2</v>
      </c>
      <c r="W223" s="2"/>
      <c r="X223" s="2">
        <f t="shared" si="154"/>
        <v>22164.719999999972</v>
      </c>
      <c r="Y223" s="2"/>
      <c r="Z223" s="19">
        <f t="shared" si="155"/>
        <v>0.14849998381989643</v>
      </c>
    </row>
    <row r="224" spans="1:26" s="24" customFormat="1" hidden="1" outlineLevel="1" x14ac:dyDescent="0.3">
      <c r="A224" s="44"/>
      <c r="B224" s="11" t="str">
        <f>CONCATENATE("          ", "9152", " - ", "MISC. INCOME")</f>
        <v xml:space="preserve">          9152 - MISC. INCOME</v>
      </c>
      <c r="C224" s="11"/>
      <c r="D224" s="2">
        <f>--366.44</f>
        <v>366.44</v>
      </c>
      <c r="E224" s="2"/>
      <c r="F224" s="19">
        <f t="shared" si="148"/>
        <v>4.819120878672871E-4</v>
      </c>
      <c r="G224" s="2"/>
      <c r="H224" s="2">
        <f>--146.33</f>
        <v>146.33000000000001</v>
      </c>
      <c r="I224" s="2"/>
      <c r="J224" s="19">
        <f t="shared" si="149"/>
        <v>1.2413221440664416E-4</v>
      </c>
      <c r="K224" s="2"/>
      <c r="L224" s="2">
        <f t="shared" si="150"/>
        <v>220.10999999999999</v>
      </c>
      <c r="M224" s="2"/>
      <c r="N224" s="19">
        <f t="shared" si="151"/>
        <v>1.5042028292216221</v>
      </c>
      <c r="O224" s="11"/>
      <c r="P224" s="2">
        <f>--3493.54</f>
        <v>3493.54</v>
      </c>
      <c r="Q224" s="2"/>
      <c r="R224" s="19">
        <f t="shared" si="152"/>
        <v>7.7670027414460064E-4</v>
      </c>
      <c r="S224" s="2"/>
      <c r="T224" s="2">
        <f>--3232.26</f>
        <v>3232.26</v>
      </c>
      <c r="U224" s="2"/>
      <c r="V224" s="19">
        <f t="shared" si="153"/>
        <v>8.3305136349049076E-4</v>
      </c>
      <c r="W224" s="2"/>
      <c r="X224" s="2">
        <f t="shared" si="154"/>
        <v>261.27999999999975</v>
      </c>
      <c r="Y224" s="2"/>
      <c r="Z224" s="19">
        <f t="shared" si="155"/>
        <v>8.0835081336278564E-2</v>
      </c>
    </row>
    <row r="225" spans="1:26" s="24" customFormat="1" hidden="1" outlineLevel="1" x14ac:dyDescent="0.3">
      <c r="A225" s="44"/>
      <c r="B225" s="11" t="str">
        <f>CONCATENATE("          ", "9163", " - ", "MISC. INCOME")</f>
        <v xml:space="preserve">          9163 - MISC. INCOME</v>
      </c>
      <c r="C225" s="11"/>
      <c r="D225" s="2">
        <f>--7027.5</f>
        <v>7027.5</v>
      </c>
      <c r="E225" s="2"/>
      <c r="F225" s="19">
        <f t="shared" si="148"/>
        <v>9.2419965000746646E-3</v>
      </c>
      <c r="G225" s="2"/>
      <c r="H225" s="2">
        <f>0</f>
        <v>0</v>
      </c>
      <c r="I225" s="2"/>
      <c r="J225" s="19">
        <f t="shared" si="149"/>
        <v>0</v>
      </c>
      <c r="K225" s="2"/>
      <c r="L225" s="2">
        <f t="shared" si="150"/>
        <v>7027.5</v>
      </c>
      <c r="M225" s="2"/>
      <c r="N225" s="19">
        <f t="shared" si="151"/>
        <v>0</v>
      </c>
      <c r="O225" s="11"/>
      <c r="P225" s="2">
        <f>--79775.7</f>
        <v>79775.7</v>
      </c>
      <c r="Q225" s="2"/>
      <c r="R225" s="19">
        <f t="shared" si="152"/>
        <v>1.7736109522168749E-2</v>
      </c>
      <c r="S225" s="2"/>
      <c r="T225" s="2">
        <f>--175405.84</f>
        <v>175405.84</v>
      </c>
      <c r="U225" s="2"/>
      <c r="V225" s="19">
        <f t="shared" si="153"/>
        <v>4.5207401068043676E-2</v>
      </c>
      <c r="W225" s="2"/>
      <c r="X225" s="2">
        <f t="shared" si="154"/>
        <v>-95630.14</v>
      </c>
      <c r="Y225" s="2"/>
      <c r="Z225" s="19">
        <f t="shared" si="155"/>
        <v>-0.54519359218598429</v>
      </c>
    </row>
    <row r="226" spans="1:26" x14ac:dyDescent="0.3">
      <c r="A226" s="9"/>
      <c r="B226" s="10"/>
      <c r="C226" s="10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O226" s="10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3">
      <c r="A227" s="10"/>
      <c r="B227" s="25" t="s">
        <v>276</v>
      </c>
      <c r="C227" s="25"/>
      <c r="D227" s="21">
        <f>+D126-D128+D221</f>
        <v>-40332.809999999656</v>
      </c>
      <c r="E227" s="13"/>
      <c r="F227" s="22">
        <f>IF(D$12=0,0,D227/D$12)</f>
        <v>-5.3042431712297861E-2</v>
      </c>
      <c r="G227" s="13"/>
      <c r="H227" s="21">
        <f>+H126-H128+H221</f>
        <v>124558.21999999977</v>
      </c>
      <c r="I227" s="13"/>
      <c r="J227" s="22">
        <f>IF(H$12=0,0,H227/H$12)</f>
        <v>0.1056631426990359</v>
      </c>
      <c r="K227" s="15"/>
      <c r="L227" s="21">
        <f>+D227-H227</f>
        <v>-164891.02999999942</v>
      </c>
      <c r="M227" s="15"/>
      <c r="N227" s="22">
        <f>IF(H227=0,0,L227/H227)</f>
        <v>-1.3238068912673906</v>
      </c>
      <c r="O227" s="26"/>
      <c r="P227" s="21">
        <f>+P126-P128+P221</f>
        <v>-76795.56</v>
      </c>
      <c r="Q227" s="13"/>
      <c r="R227" s="22">
        <f>IF(P$12=0,0,P227/P$12)</f>
        <v>-1.7073550755133223E-2</v>
      </c>
      <c r="S227" s="13"/>
      <c r="T227" s="21">
        <f>+T126-T128+T221</f>
        <v>-153043.5900000009</v>
      </c>
      <c r="U227" s="13"/>
      <c r="V227" s="22">
        <f>IF(T$12=0,0,T227/T$12)</f>
        <v>-3.9443971500739541E-2</v>
      </c>
      <c r="W227" s="15"/>
      <c r="X227" s="21">
        <f>+P227-T227</f>
        <v>76248.030000000901</v>
      </c>
      <c r="Y227" s="15"/>
      <c r="Z227" s="22">
        <f>IF(T227=0,0,X227/T227)</f>
        <v>-0.49821119590830593</v>
      </c>
    </row>
    <row r="228" spans="1:26" x14ac:dyDescent="0.3">
      <c r="A228" s="9"/>
      <c r="B228" s="10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x14ac:dyDescent="0.3">
      <c r="A229" s="51"/>
      <c r="B229" s="10" t="s">
        <v>127</v>
      </c>
      <c r="C229" s="10"/>
      <c r="D229" s="4">
        <v>145488.21</v>
      </c>
      <c r="E229" s="4"/>
      <c r="F229" s="12">
        <f>IF(D$12=0,0,D229/D$12)</f>
        <v>0.19133426220165459</v>
      </c>
      <c r="G229" s="4"/>
      <c r="H229" s="4">
        <v>204547.76</v>
      </c>
      <c r="I229" s="4"/>
      <c r="J229" s="12">
        <f>IF(H$12=0,0,H229/H$12)</f>
        <v>0.17351852935637799</v>
      </c>
      <c r="K229" s="4"/>
      <c r="L229" s="4">
        <f>+D229-H229</f>
        <v>-59059.550000000017</v>
      </c>
      <c r="M229" s="4"/>
      <c r="N229" s="12">
        <f>IF(H229=0,0,L229/H229)</f>
        <v>-0.28873232344367894</v>
      </c>
      <c r="O229" s="10"/>
      <c r="P229" s="4">
        <v>595378.65</v>
      </c>
      <c r="Q229" s="4"/>
      <c r="R229" s="12">
        <f>IF(P$12=0,0,P229/P$12)</f>
        <v>0.13236738685540805</v>
      </c>
      <c r="S229" s="4"/>
      <c r="T229" s="4">
        <v>704327.16</v>
      </c>
      <c r="U229" s="4"/>
      <c r="V229" s="12">
        <f>IF(T$12=0,0,T229/T$12)</f>
        <v>0.18152645547740129</v>
      </c>
      <c r="W229" s="4"/>
      <c r="X229" s="4">
        <f>+P229-T229</f>
        <v>-108948.51000000001</v>
      </c>
      <c r="Y229" s="4"/>
      <c r="Z229" s="12">
        <f>IF(T229=0,0,X229/T229)</f>
        <v>-0.15468452189178677</v>
      </c>
    </row>
    <row r="230" spans="1:26" x14ac:dyDescent="0.3">
      <c r="A230" s="9"/>
      <c r="B230" s="10"/>
      <c r="C230" s="10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O230" s="10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s="23" customFormat="1" ht="15" thickBot="1" x14ac:dyDescent="0.35">
      <c r="A231" s="10"/>
      <c r="B231" s="25" t="s">
        <v>125</v>
      </c>
      <c r="C231" s="25"/>
      <c r="D231" s="36">
        <f>+D227-D229</f>
        <v>-185821.01999999964</v>
      </c>
      <c r="E231" s="13"/>
      <c r="F231" s="31">
        <f>IF(D$12=0,0,D231/D$12)</f>
        <v>-0.24437669391395245</v>
      </c>
      <c r="G231" s="13"/>
      <c r="H231" s="36">
        <f>+H227-H229</f>
        <v>-79989.540000000241</v>
      </c>
      <c r="I231" s="13"/>
      <c r="J231" s="31">
        <f>IF(H$12=0,0,H231/H$12)</f>
        <v>-6.7855386657342101E-2</v>
      </c>
      <c r="K231" s="15"/>
      <c r="L231" s="36">
        <f>D231-H231</f>
        <v>-105831.4799999994</v>
      </c>
      <c r="M231" s="15"/>
      <c r="N231" s="31">
        <f>IF(H231=0,0,L231/H231)</f>
        <v>1.3230664909436793</v>
      </c>
      <c r="O231" s="26"/>
      <c r="P231" s="36">
        <f>+P227-P229</f>
        <v>-672174.21</v>
      </c>
      <c r="Q231" s="13"/>
      <c r="R231" s="31">
        <f>IF(P$12=0,0,P231/P$12)</f>
        <v>-0.14944093761054125</v>
      </c>
      <c r="S231" s="13"/>
      <c r="T231" s="36">
        <f>+T227-T229</f>
        <v>-857370.75000000093</v>
      </c>
      <c r="U231" s="13"/>
      <c r="V231" s="31">
        <f>IF(T$12=0,0,T231/T$12)</f>
        <v>-0.22097042697814082</v>
      </c>
      <c r="W231" s="15"/>
      <c r="X231" s="36">
        <f>P231-T231</f>
        <v>185196.54000000097</v>
      </c>
      <c r="Y231" s="15"/>
      <c r="Z231" s="31">
        <f>IF(T231=0,0,X231/T231)</f>
        <v>-0.21600519961755257</v>
      </c>
    </row>
    <row r="232" spans="1:26" ht="15" thickTop="1" x14ac:dyDescent="0.3">
      <c r="A232" s="9"/>
      <c r="B232" s="9"/>
      <c r="C232" s="9"/>
      <c r="D232" s="3"/>
      <c r="E232" s="3"/>
      <c r="F232" s="8"/>
      <c r="G232" s="3"/>
      <c r="H232" s="3"/>
      <c r="I232" s="3"/>
      <c r="J232" s="8"/>
      <c r="K232" s="3"/>
      <c r="L232" s="3"/>
      <c r="M232" s="3"/>
      <c r="N232" s="8"/>
      <c r="P232" s="3"/>
      <c r="Q232" s="3"/>
      <c r="R232" s="8"/>
      <c r="S232" s="3"/>
      <c r="T232" s="3"/>
      <c r="U232" s="3"/>
      <c r="V232" s="8"/>
      <c r="W232" s="3"/>
      <c r="X232" s="3"/>
      <c r="Y232" s="3"/>
      <c r="Z232" s="8"/>
    </row>
    <row r="233" spans="1:26" x14ac:dyDescent="0.3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s="23" customFormat="1" ht="15" thickBot="1" x14ac:dyDescent="0.35">
      <c r="A234" s="10"/>
      <c r="B234" s="25" t="s">
        <v>293</v>
      </c>
      <c r="C234" s="25"/>
      <c r="D234" s="35">
        <f>SUM(D231:D233)</f>
        <v>-185821.01999999964</v>
      </c>
      <c r="E234" s="13"/>
      <c r="F234" s="32">
        <f>IF(D$12=0,0,D234/D$12)</f>
        <v>-0.24437669391395245</v>
      </c>
      <c r="G234" s="13"/>
      <c r="H234" s="35">
        <f>SUM(H231:H233)</f>
        <v>-79989.540000000241</v>
      </c>
      <c r="I234" s="13"/>
      <c r="J234" s="32">
        <f>IF(H$12=0,0,H234/H$12)</f>
        <v>-6.7855386657342101E-2</v>
      </c>
      <c r="K234" s="15"/>
      <c r="L234" s="35">
        <f>+D234-H234</f>
        <v>-105831.4799999994</v>
      </c>
      <c r="M234" s="15"/>
      <c r="N234" s="32">
        <f>IF(H234=0,0,L234/H234)</f>
        <v>1.3230664909436793</v>
      </c>
      <c r="O234" s="26"/>
      <c r="P234" s="35">
        <f>SUM(P231:P233)</f>
        <v>-672174.21</v>
      </c>
      <c r="Q234" s="13"/>
      <c r="R234" s="32">
        <f>IF(P$12=0,0,P234/P$12)</f>
        <v>-0.14944093761054125</v>
      </c>
      <c r="S234" s="13"/>
      <c r="T234" s="35">
        <f>SUM(T231:T233)</f>
        <v>-857370.75000000093</v>
      </c>
      <c r="U234" s="13"/>
      <c r="V234" s="32">
        <f>IF(T$12=0,0,T234/T$12)</f>
        <v>-0.22097042697814082</v>
      </c>
      <c r="W234" s="15"/>
      <c r="X234" s="35">
        <f>+P234-T234</f>
        <v>185196.54000000097</v>
      </c>
      <c r="Y234" s="15"/>
      <c r="Z234" s="32">
        <f>IF(T234=0,0,X234/T234)</f>
        <v>-0.21600519961755257</v>
      </c>
    </row>
    <row r="235" spans="1:26" ht="15" thickTop="1" x14ac:dyDescent="0.3">
      <c r="A235" s="9"/>
      <c r="C235" s="9"/>
      <c r="D235" s="17"/>
      <c r="E235" s="17"/>
      <c r="G235" s="17"/>
      <c r="H235" s="17"/>
      <c r="I235" s="17"/>
      <c r="J235" s="42"/>
      <c r="K235" s="17"/>
      <c r="L235" s="17"/>
      <c r="M235" s="17"/>
      <c r="P235" s="17"/>
      <c r="Q235" s="17"/>
      <c r="R235" s="42"/>
      <c r="S235" s="17"/>
      <c r="T235" s="17"/>
      <c r="U235" s="17"/>
      <c r="V235" s="42"/>
      <c r="W235" s="17"/>
      <c r="X235" s="17"/>
    </row>
    <row r="236" spans="1:26" x14ac:dyDescent="0.3">
      <c r="A236" s="9"/>
      <c r="B236" s="54">
        <v>44604.028430636572</v>
      </c>
      <c r="D236" s="17"/>
      <c r="E236" s="17"/>
      <c r="G236" s="17"/>
      <c r="H236" s="17"/>
      <c r="I236" s="17"/>
      <c r="J236" s="42"/>
      <c r="K236" s="17"/>
      <c r="L236" s="17"/>
      <c r="M236" s="17"/>
      <c r="P236" s="17"/>
      <c r="Q236" s="17"/>
      <c r="R236" s="42"/>
      <c r="S236" s="17"/>
      <c r="T236" s="17"/>
      <c r="U236" s="17"/>
      <c r="V236" s="42"/>
      <c r="W236" s="17"/>
      <c r="X236" s="17"/>
    </row>
    <row r="237" spans="1:26" x14ac:dyDescent="0.3">
      <c r="A237" s="9"/>
      <c r="B237" s="53" t="s">
        <v>56</v>
      </c>
      <c r="D237" s="17"/>
      <c r="E237" s="17"/>
      <c r="G237" s="17"/>
      <c r="H237" s="17"/>
      <c r="I237" s="17"/>
      <c r="J237" s="42"/>
      <c r="K237" s="17"/>
      <c r="L237" s="17"/>
      <c r="M237" s="17"/>
      <c r="P237" s="17"/>
      <c r="Q237" s="17"/>
      <c r="R237" s="42"/>
      <c r="S237" s="17"/>
      <c r="T237" s="17"/>
      <c r="U237" s="17"/>
      <c r="V237" s="42"/>
      <c r="W237" s="17"/>
      <c r="X237" s="17"/>
    </row>
    <row r="238" spans="1:26" x14ac:dyDescent="0.3">
      <c r="A238" s="9"/>
      <c r="B238" s="59"/>
      <c r="D238" s="17"/>
      <c r="E238" s="17"/>
      <c r="G238" s="17"/>
      <c r="H238" s="17"/>
      <c r="I238" s="17"/>
      <c r="J238" s="42"/>
      <c r="K238" s="17"/>
      <c r="L238" s="17"/>
      <c r="M238" s="17"/>
      <c r="P238" s="17"/>
      <c r="Q238" s="17"/>
      <c r="R238" s="42"/>
      <c r="S238" s="17"/>
      <c r="T238" s="17"/>
      <c r="U238" s="17"/>
      <c r="V238" s="42"/>
      <c r="W238" s="17"/>
      <c r="X238" s="17"/>
    </row>
    <row r="239" spans="1:26" x14ac:dyDescent="0.3">
      <c r="D239" s="17"/>
      <c r="E239" s="17"/>
      <c r="G239" s="17"/>
      <c r="H239" s="17"/>
      <c r="I239" s="17"/>
      <c r="J239" s="42"/>
      <c r="K239" s="17"/>
      <c r="L239" s="17"/>
      <c r="M239" s="17"/>
      <c r="P239" s="17"/>
      <c r="Q239" s="17"/>
      <c r="R239" s="42"/>
      <c r="S239" s="17"/>
      <c r="T239" s="17"/>
      <c r="U239" s="17"/>
      <c r="V239" s="42"/>
      <c r="W239" s="17"/>
      <c r="X239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755554.19000000006</v>
      </c>
      <c r="E12" s="4"/>
      <c r="F12" s="12"/>
      <c r="G12" s="4"/>
      <c r="H12" s="4">
        <f>SUM(OSRRefH13x_0)</f>
        <v>1178823.73</v>
      </c>
      <c r="I12" s="4"/>
      <c r="J12" s="12"/>
      <c r="K12" s="4"/>
      <c r="L12" s="4">
        <f t="shared" ref="L12:L77" si="0">+D12-H12</f>
        <v>-423269.53999999992</v>
      </c>
      <c r="M12" s="4"/>
      <c r="N12" s="12">
        <f t="shared" ref="N12:N77" si="1">IF(H12=0,0,L12/H12)</f>
        <v>-0.35906092592825556</v>
      </c>
      <c r="O12" s="10"/>
      <c r="P12" s="4">
        <f>SUM(OSRRefP13x_0)</f>
        <v>4416684.5799999991</v>
      </c>
      <c r="Q12" s="4"/>
      <c r="R12" s="12"/>
      <c r="S12" s="4"/>
      <c r="T12" s="4">
        <f>SUM(OSRRefT13x_0)</f>
        <v>3877438.3899999997</v>
      </c>
      <c r="U12" s="4"/>
      <c r="V12" s="12"/>
      <c r="W12" s="4"/>
      <c r="X12" s="4">
        <f t="shared" ref="X12:X77" si="2">+P12-T12</f>
        <v>539246.18999999948</v>
      </c>
      <c r="Y12" s="4"/>
      <c r="Z12" s="12">
        <f t="shared" ref="Z12:Z77" si="3">IF(T12=0,0,X12/T12)</f>
        <v>0.13907279388132315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--657935.63</f>
        <v>657935.63</v>
      </c>
      <c r="E13" s="2"/>
      <c r="F13" s="19"/>
      <c r="G13" s="2"/>
      <c r="H13" s="2">
        <f>-12178.94</f>
        <v>-12178.94</v>
      </c>
      <c r="I13" s="2"/>
      <c r="J13" s="19"/>
      <c r="K13" s="2"/>
      <c r="L13" s="2">
        <f t="shared" si="0"/>
        <v>670114.56999999995</v>
      </c>
      <c r="M13" s="2"/>
      <c r="N13" s="19">
        <f t="shared" si="1"/>
        <v>-55.022405069735129</v>
      </c>
      <c r="O13" s="11"/>
      <c r="P13" s="2">
        <f>--3770691.34</f>
        <v>3770691.34</v>
      </c>
      <c r="Q13" s="2"/>
      <c r="R13" s="19"/>
      <c r="S13" s="2"/>
      <c r="T13" s="2">
        <f>-101008.03</f>
        <v>-101008.03</v>
      </c>
      <c r="U13" s="2"/>
      <c r="V13" s="19"/>
      <c r="W13" s="2"/>
      <c r="X13" s="2">
        <f t="shared" si="2"/>
        <v>3871699.3699999996</v>
      </c>
      <c r="Y13" s="2"/>
      <c r="Z13" s="19">
        <f t="shared" si="3"/>
        <v>-38.330609655489766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3" si="4">0</f>
        <v>0</v>
      </c>
      <c r="E14" s="2"/>
      <c r="F14" s="19"/>
      <c r="G14" s="2"/>
      <c r="H14" s="2">
        <f>--459430.32</f>
        <v>459430.32</v>
      </c>
      <c r="I14" s="2"/>
      <c r="J14" s="19"/>
      <c r="K14" s="2"/>
      <c r="L14" s="2">
        <f t="shared" si="0"/>
        <v>-459430.32</v>
      </c>
      <c r="M14" s="2"/>
      <c r="N14" s="19">
        <f t="shared" si="1"/>
        <v>-1</v>
      </c>
      <c r="O14" s="11"/>
      <c r="P14" s="2">
        <f t="shared" ref="P14:P33" si="5">0</f>
        <v>0</v>
      </c>
      <c r="Q14" s="2"/>
      <c r="R14" s="19"/>
      <c r="S14" s="2"/>
      <c r="T14" s="2">
        <f>--1190096.34</f>
        <v>1190096.3400000001</v>
      </c>
      <c r="U14" s="2"/>
      <c r="V14" s="19"/>
      <c r="W14" s="2"/>
      <c r="X14" s="2">
        <f t="shared" si="2"/>
        <v>-1190096.3400000001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--238947.44</f>
        <v>238947.44</v>
      </c>
      <c r="I15" s="2"/>
      <c r="J15" s="19"/>
      <c r="K15" s="2"/>
      <c r="L15" s="2">
        <f t="shared" si="0"/>
        <v>-238947.44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--562401.5</f>
        <v>562401.5</v>
      </c>
      <c r="U15" s="2"/>
      <c r="V15" s="19"/>
      <c r="W15" s="2"/>
      <c r="X15" s="2">
        <f t="shared" si="2"/>
        <v>-562401.5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--34.62</f>
        <v>34.619999999999997</v>
      </c>
      <c r="I21" s="2"/>
      <c r="J21" s="19"/>
      <c r="K21" s="2"/>
      <c r="L21" s="2">
        <f t="shared" si="0"/>
        <v>-34.619999999999997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--407</f>
        <v>407</v>
      </c>
      <c r="U21" s="2"/>
      <c r="V21" s="19"/>
      <c r="W21" s="2"/>
      <c r="X21" s="2">
        <f t="shared" si="2"/>
        <v>-407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--8701.79</f>
        <v>8701.7900000000009</v>
      </c>
      <c r="I22" s="2"/>
      <c r="J22" s="19"/>
      <c r="K22" s="2"/>
      <c r="L22" s="2">
        <f t="shared" si="0"/>
        <v>-8701.7900000000009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--48676.22</f>
        <v>48676.22</v>
      </c>
      <c r="U22" s="2"/>
      <c r="V22" s="19"/>
      <c r="W22" s="2"/>
      <c r="X22" s="2">
        <f t="shared" si="2"/>
        <v>-48676.22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--21773.01</f>
        <v>21773.01</v>
      </c>
      <c r="I23" s="2"/>
      <c r="J23" s="19"/>
      <c r="K23" s="2"/>
      <c r="L23" s="2">
        <f t="shared" si="0"/>
        <v>-21773.01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--38951.82</f>
        <v>38951.82</v>
      </c>
      <c r="U23" s="2"/>
      <c r="V23" s="19"/>
      <c r="W23" s="2"/>
      <c r="X23" s="2">
        <f t="shared" si="2"/>
        <v>-38951.82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--477.59</f>
        <v>477.59</v>
      </c>
      <c r="I24" s="2"/>
      <c r="J24" s="19"/>
      <c r="K24" s="2"/>
      <c r="L24" s="2">
        <f t="shared" si="0"/>
        <v>-477.59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--2587.24</f>
        <v>2587.2399999999998</v>
      </c>
      <c r="U24" s="2"/>
      <c r="V24" s="19"/>
      <c r="W24" s="2"/>
      <c r="X24" s="2">
        <f t="shared" si="2"/>
        <v>-2587.2399999999998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--89991.91</f>
        <v>89991.91</v>
      </c>
      <c r="I26" s="2"/>
      <c r="J26" s="19"/>
      <c r="K26" s="2"/>
      <c r="L26" s="2">
        <f t="shared" si="0"/>
        <v>-89991.91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--598102.9</f>
        <v>598102.9</v>
      </c>
      <c r="U26" s="2"/>
      <c r="V26" s="19"/>
      <c r="W26" s="2"/>
      <c r="X26" s="2">
        <f t="shared" si="2"/>
        <v>-598102.9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--51480.95</f>
        <v>51480.95</v>
      </c>
      <c r="I27" s="2"/>
      <c r="J27" s="19"/>
      <c r="K27" s="2"/>
      <c r="L27" s="2">
        <f t="shared" si="0"/>
        <v>-51480.95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--249099.27</f>
        <v>249099.27</v>
      </c>
      <c r="U27" s="2"/>
      <c r="V27" s="19"/>
      <c r="W27" s="2"/>
      <c r="X27" s="2">
        <f t="shared" si="2"/>
        <v>-249099.27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--9303.18</f>
        <v>9303.18</v>
      </c>
      <c r="I28" s="2"/>
      <c r="J28" s="19"/>
      <c r="K28" s="2"/>
      <c r="L28" s="2">
        <f t="shared" si="0"/>
        <v>-9303.18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--74200.88</f>
        <v>74200.88</v>
      </c>
      <c r="U28" s="2"/>
      <c r="V28" s="19"/>
      <c r="W28" s="2"/>
      <c r="X28" s="2">
        <f t="shared" si="2"/>
        <v>-74200.88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--24845.66</f>
        <v>24845.66</v>
      </c>
      <c r="I29" s="2"/>
      <c r="J29" s="19"/>
      <c r="K29" s="2"/>
      <c r="L29" s="2">
        <f t="shared" si="0"/>
        <v>-24845.66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--117954.81</f>
        <v>117954.81</v>
      </c>
      <c r="U29" s="2"/>
      <c r="V29" s="19"/>
      <c r="W29" s="2"/>
      <c r="X29" s="2">
        <f t="shared" si="2"/>
        <v>-117954.81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--1261.95</f>
        <v>1261.95</v>
      </c>
      <c r="I30" s="2"/>
      <c r="J30" s="19"/>
      <c r="K30" s="2"/>
      <c r="L30" s="2">
        <f t="shared" si="0"/>
        <v>-1261.95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--27535.62</f>
        <v>27535.62</v>
      </c>
      <c r="U30" s="2"/>
      <c r="V30" s="19"/>
      <c r="W30" s="2"/>
      <c r="X30" s="2">
        <f t="shared" si="2"/>
        <v>-27535.62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--3388.52</f>
        <v>3388.52</v>
      </c>
      <c r="I31" s="2"/>
      <c r="J31" s="19"/>
      <c r="K31" s="2"/>
      <c r="L31" s="2">
        <f t="shared" si="0"/>
        <v>-3388.52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--125449.67</f>
        <v>125449.67</v>
      </c>
      <c r="U31" s="2"/>
      <c r="V31" s="19"/>
      <c r="W31" s="2"/>
      <c r="X31" s="2">
        <f t="shared" si="2"/>
        <v>-125449.67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 t="shared" ref="H32:H33" si="6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--71.95</f>
        <v>71.95</v>
      </c>
      <c r="U32" s="2"/>
      <c r="V32" s="19"/>
      <c r="W32" s="2"/>
      <c r="X32" s="2">
        <f t="shared" si="2"/>
        <v>-71.95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5"/>
        <v>0</v>
      </c>
      <c r="Q33" s="2"/>
      <c r="R33" s="19"/>
      <c r="S33" s="2"/>
      <c r="T33" s="2">
        <f>--9.99</f>
        <v>9.99</v>
      </c>
      <c r="U33" s="2"/>
      <c r="V33" s="19"/>
      <c r="W33" s="2"/>
      <c r="X33" s="2">
        <f t="shared" si="2"/>
        <v>-9.99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"4100", " - ", "NON-TAXABLE SALES")</f>
        <v xml:space="preserve">          4100 - NON-TAXABLE SALES</v>
      </c>
      <c r="C34" s="11"/>
      <c r="D34" s="2">
        <f>--130571.36</f>
        <v>130571.36</v>
      </c>
      <c r="E34" s="2"/>
      <c r="F34" s="19"/>
      <c r="G34" s="2"/>
      <c r="H34" s="2">
        <f>--112968.19</f>
        <v>112968.19</v>
      </c>
      <c r="I34" s="2"/>
      <c r="J34" s="19"/>
      <c r="K34" s="2"/>
      <c r="L34" s="2">
        <f t="shared" si="0"/>
        <v>17603.169999999998</v>
      </c>
      <c r="M34" s="2"/>
      <c r="N34" s="19">
        <f t="shared" si="1"/>
        <v>0.15582413066899628</v>
      </c>
      <c r="O34" s="11"/>
      <c r="P34" s="2">
        <f>--857550.3</f>
        <v>857550.3</v>
      </c>
      <c r="Q34" s="2"/>
      <c r="R34" s="19"/>
      <c r="S34" s="2"/>
      <c r="T34" s="2">
        <f>--278555.86</f>
        <v>278555.86</v>
      </c>
      <c r="U34" s="2"/>
      <c r="V34" s="19"/>
      <c r="W34" s="2"/>
      <c r="X34" s="2">
        <f t="shared" si="2"/>
        <v>578994.44000000006</v>
      </c>
      <c r="Y34" s="2"/>
      <c r="Z34" s="19">
        <f t="shared" si="3"/>
        <v>2.0785577442169054</v>
      </c>
    </row>
    <row r="35" spans="1:26" s="24" customFormat="1" hidden="1" outlineLevel="1" x14ac:dyDescent="0.3">
      <c r="A35" s="44"/>
      <c r="B35" s="11" t="str">
        <f>CONCATENATE("          ", "4101", " - ", "NON-TAXABLE SALES-NEW TEXT")</f>
        <v xml:space="preserve">          4101 - NON-TAXABLE SALES-NEW TEXT</v>
      </c>
      <c r="C35" s="11"/>
      <c r="D35" s="2">
        <f t="shared" ref="D35:D56" si="7">0</f>
        <v>0</v>
      </c>
      <c r="E35" s="2"/>
      <c r="F35" s="19"/>
      <c r="G35" s="2"/>
      <c r="H35" s="2">
        <f>--22084.7</f>
        <v>22084.7</v>
      </c>
      <c r="I35" s="2"/>
      <c r="J35" s="19"/>
      <c r="K35" s="2"/>
      <c r="L35" s="2">
        <f t="shared" si="0"/>
        <v>-22084.7</v>
      </c>
      <c r="M35" s="2"/>
      <c r="N35" s="19">
        <f t="shared" si="1"/>
        <v>-1</v>
      </c>
      <c r="O35" s="11"/>
      <c r="P35" s="2">
        <f t="shared" ref="P35:P56" si="8">0</f>
        <v>0</v>
      </c>
      <c r="Q35" s="2"/>
      <c r="R35" s="19"/>
      <c r="S35" s="2"/>
      <c r="T35" s="2">
        <f>--104225.63</f>
        <v>104225.63</v>
      </c>
      <c r="U35" s="2"/>
      <c r="V35" s="19"/>
      <c r="W35" s="2"/>
      <c r="X35" s="2">
        <f t="shared" si="2"/>
        <v>-104225.63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"4102", " - ", "NON-TAXABLE SALES-USED TEXT")</f>
        <v xml:space="preserve">          4102 - NON-TAXABLE SALES-USED TEXT</v>
      </c>
      <c r="C36" s="11"/>
      <c r="D36" s="2">
        <f t="shared" si="7"/>
        <v>0</v>
      </c>
      <c r="E36" s="2"/>
      <c r="F36" s="19"/>
      <c r="G36" s="2"/>
      <c r="H36" s="2">
        <f>--9330.01</f>
        <v>9330.01</v>
      </c>
      <c r="I36" s="2"/>
      <c r="J36" s="19"/>
      <c r="K36" s="2"/>
      <c r="L36" s="2">
        <f t="shared" si="0"/>
        <v>-9330.01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--42961.32</f>
        <v>42961.32</v>
      </c>
      <c r="U36" s="2"/>
      <c r="V36" s="19"/>
      <c r="W36" s="2"/>
      <c r="X36" s="2">
        <f t="shared" si="2"/>
        <v>-42961.32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 t="shared" si="7"/>
        <v>0</v>
      </c>
      <c r="E37" s="2"/>
      <c r="F37" s="19"/>
      <c r="G37" s="2"/>
      <c r="H37" s="2">
        <f>--853.98</f>
        <v>853.98</v>
      </c>
      <c r="I37" s="2"/>
      <c r="J37" s="19"/>
      <c r="K37" s="2"/>
      <c r="L37" s="2">
        <f t="shared" si="0"/>
        <v>-853.98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--1138.95</f>
        <v>1138.95</v>
      </c>
      <c r="U37" s="2"/>
      <c r="V37" s="19"/>
      <c r="W37" s="2"/>
      <c r="X37" s="2">
        <f t="shared" si="2"/>
        <v>-1138.95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 t="shared" si="7"/>
        <v>0</v>
      </c>
      <c r="E38" s="2"/>
      <c r="F38" s="19"/>
      <c r="G38" s="2"/>
      <c r="H38" s="2">
        <f>--161977.12</f>
        <v>161977.12</v>
      </c>
      <c r="I38" s="2"/>
      <c r="J38" s="19"/>
      <c r="K38" s="2"/>
      <c r="L38" s="2">
        <f t="shared" si="0"/>
        <v>-161977.12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--458168.13</f>
        <v>458168.13</v>
      </c>
      <c r="U38" s="2"/>
      <c r="V38" s="19"/>
      <c r="W38" s="2"/>
      <c r="X38" s="2">
        <f t="shared" si="2"/>
        <v>-458168.13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 t="shared" si="7"/>
        <v>0</v>
      </c>
      <c r="E39" s="2"/>
      <c r="F39" s="19"/>
      <c r="G39" s="2"/>
      <c r="H39" s="2">
        <f>--4661.75</f>
        <v>4661.75</v>
      </c>
      <c r="I39" s="2"/>
      <c r="J39" s="19"/>
      <c r="K39" s="2"/>
      <c r="L39" s="2">
        <f t="shared" si="0"/>
        <v>-4661.75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--6989.25</f>
        <v>6989.25</v>
      </c>
      <c r="U39" s="2"/>
      <c r="V39" s="19"/>
      <c r="W39" s="2"/>
      <c r="X39" s="2">
        <f t="shared" si="2"/>
        <v>-6989.25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 t="shared" si="7"/>
        <v>0</v>
      </c>
      <c r="E40" s="2"/>
      <c r="F40" s="19"/>
      <c r="G40" s="2"/>
      <c r="H40" s="2">
        <f>--538.3</f>
        <v>538.29999999999995</v>
      </c>
      <c r="I40" s="2"/>
      <c r="J40" s="19"/>
      <c r="K40" s="2"/>
      <c r="L40" s="2">
        <f t="shared" si="0"/>
        <v>-538.29999999999995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--771.73</f>
        <v>771.73</v>
      </c>
      <c r="U40" s="2"/>
      <c r="V40" s="19"/>
      <c r="W40" s="2"/>
      <c r="X40" s="2">
        <f t="shared" si="2"/>
        <v>-771.73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 t="shared" si="7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8"/>
        <v>0</v>
      </c>
      <c r="Q41" s="2"/>
      <c r="R41" s="19"/>
      <c r="S41" s="2"/>
      <c r="T41" s="2">
        <f>--52.68</f>
        <v>52.68</v>
      </c>
      <c r="U41" s="2"/>
      <c r="V41" s="19"/>
      <c r="W41" s="2"/>
      <c r="X41" s="2">
        <f t="shared" si="2"/>
        <v>-52.68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 t="shared" si="7"/>
        <v>0</v>
      </c>
      <c r="E42" s="2"/>
      <c r="F42" s="19"/>
      <c r="G42" s="2"/>
      <c r="H42" s="2">
        <f>--2539.06</f>
        <v>2539.06</v>
      </c>
      <c r="I42" s="2"/>
      <c r="J42" s="19"/>
      <c r="K42" s="2"/>
      <c r="L42" s="2">
        <f t="shared" si="0"/>
        <v>-2539.06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--5745.17</f>
        <v>5745.17</v>
      </c>
      <c r="U42" s="2"/>
      <c r="V42" s="19"/>
      <c r="W42" s="2"/>
      <c r="X42" s="2">
        <f t="shared" si="2"/>
        <v>-5745.17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"4128", " - ", "NON-TAXABLE SALES-ART/TECH")</f>
        <v xml:space="preserve">          4128 - NON-TAXABLE SALES-ART/TECH</v>
      </c>
      <c r="C43" s="11"/>
      <c r="D43" s="2">
        <f t="shared" si="7"/>
        <v>0</v>
      </c>
      <c r="E43" s="2"/>
      <c r="F43" s="19"/>
      <c r="G43" s="2"/>
      <c r="H43" s="2">
        <f>--4.72</f>
        <v>4.72</v>
      </c>
      <c r="I43" s="2"/>
      <c r="J43" s="19"/>
      <c r="K43" s="2"/>
      <c r="L43" s="2">
        <f t="shared" si="0"/>
        <v>-4.72</v>
      </c>
      <c r="M43" s="2"/>
      <c r="N43" s="19">
        <f t="shared" si="1"/>
        <v>-1</v>
      </c>
      <c r="O43" s="11"/>
      <c r="P43" s="2">
        <f t="shared" si="8"/>
        <v>0</v>
      </c>
      <c r="Q43" s="2"/>
      <c r="R43" s="19"/>
      <c r="S43" s="2"/>
      <c r="T43" s="2">
        <f>--29.5</f>
        <v>29.5</v>
      </c>
      <c r="U43" s="2"/>
      <c r="V43" s="19"/>
      <c r="W43" s="2"/>
      <c r="X43" s="2">
        <f t="shared" si="2"/>
        <v>-29.5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"4131", " - ", "NON-TAXABLE SALES-FOOD")</f>
        <v xml:space="preserve">          4131 - NON-TAXABLE SALES-FOOD</v>
      </c>
      <c r="C44" s="11"/>
      <c r="D44" s="2">
        <f t="shared" si="7"/>
        <v>0</v>
      </c>
      <c r="E44" s="2"/>
      <c r="F44" s="19"/>
      <c r="G44" s="2"/>
      <c r="H44" s="2">
        <f>--1098.12</f>
        <v>1098.1199999999999</v>
      </c>
      <c r="I44" s="2"/>
      <c r="J44" s="19"/>
      <c r="K44" s="2"/>
      <c r="L44" s="2">
        <f t="shared" si="0"/>
        <v>-1098.1199999999999</v>
      </c>
      <c r="M44" s="2"/>
      <c r="N44" s="19">
        <f t="shared" si="1"/>
        <v>-1</v>
      </c>
      <c r="O44" s="11"/>
      <c r="P44" s="2">
        <f t="shared" si="8"/>
        <v>0</v>
      </c>
      <c r="Q44" s="2"/>
      <c r="R44" s="19"/>
      <c r="S44" s="2"/>
      <c r="T44" s="2">
        <f>--8640.27</f>
        <v>8640.27</v>
      </c>
      <c r="U44" s="2"/>
      <c r="V44" s="19"/>
      <c r="W44" s="2"/>
      <c r="X44" s="2">
        <f t="shared" si="2"/>
        <v>-8640.27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si="7"/>
        <v>0</v>
      </c>
      <c r="E45" s="2"/>
      <c r="F45" s="19"/>
      <c r="G45" s="2"/>
      <c r="H45" s="2">
        <f t="shared" ref="H45:H48" si="9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8"/>
        <v>0</v>
      </c>
      <c r="Q45" s="2"/>
      <c r="R45" s="19"/>
      <c r="S45" s="2"/>
      <c r="T45" s="2">
        <f>--22.49</f>
        <v>22.49</v>
      </c>
      <c r="U45" s="2"/>
      <c r="V45" s="19"/>
      <c r="W45" s="2"/>
      <c r="X45" s="2">
        <f t="shared" si="2"/>
        <v>-22.49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7"/>
        <v>0</v>
      </c>
      <c r="E46" s="2"/>
      <c r="F46" s="19"/>
      <c r="G46" s="2"/>
      <c r="H46" s="2">
        <f t="shared" si="9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8"/>
        <v>0</v>
      </c>
      <c r="Q46" s="2"/>
      <c r="R46" s="19"/>
      <c r="S46" s="2"/>
      <c r="T46" s="2">
        <f>--80.71</f>
        <v>80.709999999999994</v>
      </c>
      <c r="U46" s="2"/>
      <c r="V46" s="19"/>
      <c r="W46" s="2"/>
      <c r="X46" s="2">
        <f t="shared" si="2"/>
        <v>-80.709999999999994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7"/>
        <v>0</v>
      </c>
      <c r="E47" s="2"/>
      <c r="F47" s="19"/>
      <c r="G47" s="2"/>
      <c r="H47" s="2">
        <f t="shared" si="9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8"/>
        <v>0</v>
      </c>
      <c r="Q47" s="2"/>
      <c r="R47" s="19"/>
      <c r="S47" s="2"/>
      <c r="T47" s="2">
        <f>--45.53</f>
        <v>45.53</v>
      </c>
      <c r="U47" s="2"/>
      <c r="V47" s="19"/>
      <c r="W47" s="2"/>
      <c r="X47" s="2">
        <f t="shared" si="2"/>
        <v>-45.53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7"/>
        <v>0</v>
      </c>
      <c r="E48" s="2"/>
      <c r="F48" s="19"/>
      <c r="G48" s="2"/>
      <c r="H48" s="2">
        <f t="shared" si="9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8"/>
        <v>0</v>
      </c>
      <c r="Q48" s="2"/>
      <c r="R48" s="19"/>
      <c r="S48" s="2"/>
      <c r="T48" s="2">
        <f>--68.25</f>
        <v>68.25</v>
      </c>
      <c r="U48" s="2"/>
      <c r="V48" s="19"/>
      <c r="W48" s="2"/>
      <c r="X48" s="2">
        <f t="shared" si="2"/>
        <v>-68.25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 t="shared" si="7"/>
        <v>0</v>
      </c>
      <c r="E49" s="2"/>
      <c r="F49" s="19"/>
      <c r="G49" s="2"/>
      <c r="H49" s="2">
        <f>--9206.45</f>
        <v>9206.4500000000007</v>
      </c>
      <c r="I49" s="2"/>
      <c r="J49" s="19"/>
      <c r="K49" s="2"/>
      <c r="L49" s="2">
        <f t="shared" si="0"/>
        <v>-9206.4500000000007</v>
      </c>
      <c r="M49" s="2"/>
      <c r="N49" s="19">
        <f t="shared" si="1"/>
        <v>-1</v>
      </c>
      <c r="O49" s="11"/>
      <c r="P49" s="2">
        <f t="shared" si="8"/>
        <v>0</v>
      </c>
      <c r="Q49" s="2"/>
      <c r="R49" s="19"/>
      <c r="S49" s="2"/>
      <c r="T49" s="2">
        <f>--113177.42</f>
        <v>113177.42</v>
      </c>
      <c r="U49" s="2"/>
      <c r="V49" s="19"/>
      <c r="W49" s="2"/>
      <c r="X49" s="2">
        <f t="shared" si="2"/>
        <v>-113177.42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"4141", " - ", "NON-TAXABLE SALES-LOGO GIFTS")</f>
        <v xml:space="preserve">          4141 - NON-TAXABLE SALES-LOGO GIFTS</v>
      </c>
      <c r="C50" s="11"/>
      <c r="D50" s="2">
        <f t="shared" si="7"/>
        <v>0</v>
      </c>
      <c r="E50" s="2"/>
      <c r="F50" s="19"/>
      <c r="G50" s="2"/>
      <c r="H50" s="2">
        <f>--1872.52</f>
        <v>1872.52</v>
      </c>
      <c r="I50" s="2"/>
      <c r="J50" s="19"/>
      <c r="K50" s="2"/>
      <c r="L50" s="2">
        <f t="shared" si="0"/>
        <v>-1872.52</v>
      </c>
      <c r="M50" s="2"/>
      <c r="N50" s="19">
        <f t="shared" si="1"/>
        <v>-1</v>
      </c>
      <c r="O50" s="11"/>
      <c r="P50" s="2">
        <f t="shared" si="8"/>
        <v>0</v>
      </c>
      <c r="Q50" s="2"/>
      <c r="R50" s="19"/>
      <c r="S50" s="2"/>
      <c r="T50" s="2">
        <f>--7841.77</f>
        <v>7841.77</v>
      </c>
      <c r="U50" s="2"/>
      <c r="V50" s="19"/>
      <c r="W50" s="2"/>
      <c r="X50" s="2">
        <f t="shared" si="2"/>
        <v>-7841.77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 t="shared" si="7"/>
        <v>0</v>
      </c>
      <c r="E51" s="2"/>
      <c r="F51" s="19"/>
      <c r="G51" s="2"/>
      <c r="H51" s="2">
        <f>--51.7</f>
        <v>51.7</v>
      </c>
      <c r="I51" s="2"/>
      <c r="J51" s="19"/>
      <c r="K51" s="2"/>
      <c r="L51" s="2">
        <f t="shared" si="0"/>
        <v>-51.7</v>
      </c>
      <c r="M51" s="2"/>
      <c r="N51" s="19">
        <f t="shared" si="1"/>
        <v>-1</v>
      </c>
      <c r="O51" s="11"/>
      <c r="P51" s="2">
        <f t="shared" si="8"/>
        <v>0</v>
      </c>
      <c r="Q51" s="2"/>
      <c r="R51" s="19"/>
      <c r="S51" s="2"/>
      <c r="T51" s="2">
        <f>--2259.89</f>
        <v>2259.89</v>
      </c>
      <c r="U51" s="2"/>
      <c r="V51" s="19"/>
      <c r="W51" s="2"/>
      <c r="X51" s="2">
        <f t="shared" si="2"/>
        <v>-2259.89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"4143", " - ", "NON-TAXABLE SALES-CARDS")</f>
        <v xml:space="preserve">          4143 - NON-TAXABLE SALES-CARDS</v>
      </c>
      <c r="C52" s="11"/>
      <c r="D52" s="2">
        <f t="shared" si="7"/>
        <v>0</v>
      </c>
      <c r="E52" s="2"/>
      <c r="F52" s="19"/>
      <c r="G52" s="2"/>
      <c r="H52" s="2">
        <f>--232.71</f>
        <v>232.71</v>
      </c>
      <c r="I52" s="2"/>
      <c r="J52" s="19"/>
      <c r="K52" s="2"/>
      <c r="L52" s="2">
        <f t="shared" si="0"/>
        <v>-232.71</v>
      </c>
      <c r="M52" s="2"/>
      <c r="N52" s="19">
        <f t="shared" si="1"/>
        <v>-1</v>
      </c>
      <c r="O52" s="11"/>
      <c r="P52" s="2">
        <f t="shared" si="8"/>
        <v>0</v>
      </c>
      <c r="Q52" s="2"/>
      <c r="R52" s="19"/>
      <c r="S52" s="2"/>
      <c r="T52" s="2">
        <f>--1969.74</f>
        <v>1969.74</v>
      </c>
      <c r="U52" s="2"/>
      <c r="V52" s="19"/>
      <c r="W52" s="2"/>
      <c r="X52" s="2">
        <f t="shared" si="2"/>
        <v>-1969.74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 t="shared" si="7"/>
        <v>0</v>
      </c>
      <c r="E53" s="2"/>
      <c r="F53" s="19"/>
      <c r="G53" s="2"/>
      <c r="H53" s="2">
        <f>--119.9</f>
        <v>119.9</v>
      </c>
      <c r="I53" s="2"/>
      <c r="J53" s="19"/>
      <c r="K53" s="2"/>
      <c r="L53" s="2">
        <f t="shared" si="0"/>
        <v>-119.9</v>
      </c>
      <c r="M53" s="2"/>
      <c r="N53" s="19">
        <f t="shared" si="1"/>
        <v>-1</v>
      </c>
      <c r="O53" s="11"/>
      <c r="P53" s="2">
        <f t="shared" si="8"/>
        <v>0</v>
      </c>
      <c r="Q53" s="2"/>
      <c r="R53" s="19"/>
      <c r="S53" s="2"/>
      <c r="T53" s="2">
        <f>--609.4</f>
        <v>609.4</v>
      </c>
      <c r="U53" s="2"/>
      <c r="V53" s="19"/>
      <c r="W53" s="2"/>
      <c r="X53" s="2">
        <f t="shared" si="2"/>
        <v>-609.4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 t="shared" si="7"/>
        <v>0</v>
      </c>
      <c r="E54" s="2"/>
      <c r="F54" s="19"/>
      <c r="G54" s="2"/>
      <c r="H54" s="2">
        <f>-1677.68</f>
        <v>-1677.68</v>
      </c>
      <c r="I54" s="2"/>
      <c r="J54" s="19"/>
      <c r="K54" s="2"/>
      <c r="L54" s="2">
        <f t="shared" si="0"/>
        <v>1677.68</v>
      </c>
      <c r="M54" s="2"/>
      <c r="N54" s="19">
        <f t="shared" si="1"/>
        <v>-1</v>
      </c>
      <c r="O54" s="11"/>
      <c r="P54" s="2">
        <f t="shared" si="8"/>
        <v>0</v>
      </c>
      <c r="Q54" s="2"/>
      <c r="R54" s="19"/>
      <c r="S54" s="2"/>
      <c r="T54" s="2">
        <f>--53716.09</f>
        <v>53716.09</v>
      </c>
      <c r="U54" s="2"/>
      <c r="V54" s="19"/>
      <c r="W54" s="2"/>
      <c r="X54" s="2">
        <f t="shared" si="2"/>
        <v>-53716.09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 t="shared" si="7"/>
        <v>0</v>
      </c>
      <c r="E55" s="2"/>
      <c r="F55" s="19"/>
      <c r="G55" s="2"/>
      <c r="H55" s="2">
        <f>--12.7</f>
        <v>12.7</v>
      </c>
      <c r="I55" s="2"/>
      <c r="J55" s="19"/>
      <c r="K55" s="2"/>
      <c r="L55" s="2">
        <f t="shared" si="0"/>
        <v>-12.7</v>
      </c>
      <c r="M55" s="2"/>
      <c r="N55" s="19">
        <f t="shared" si="1"/>
        <v>-1</v>
      </c>
      <c r="O55" s="11"/>
      <c r="P55" s="2">
        <f t="shared" si="8"/>
        <v>0</v>
      </c>
      <c r="Q55" s="2"/>
      <c r="R55" s="19"/>
      <c r="S55" s="2"/>
      <c r="T55" s="2">
        <f>--140.6</f>
        <v>140.6</v>
      </c>
      <c r="U55" s="2"/>
      <c r="V55" s="19"/>
      <c r="W55" s="2"/>
      <c r="X55" s="2">
        <f t="shared" si="2"/>
        <v>-140.6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"4147", " - ", "NON-TAXABLE SALES-MISC")</f>
        <v xml:space="preserve">          4147 - NON-TAXABLE SALES-MISC</v>
      </c>
      <c r="C56" s="11"/>
      <c r="D56" s="2">
        <f t="shared" si="7"/>
        <v>0</v>
      </c>
      <c r="E56" s="2"/>
      <c r="F56" s="19"/>
      <c r="G56" s="2"/>
      <c r="H56" s="2">
        <f>--11</f>
        <v>11</v>
      </c>
      <c r="I56" s="2"/>
      <c r="J56" s="19"/>
      <c r="K56" s="2"/>
      <c r="L56" s="2">
        <f t="shared" si="0"/>
        <v>-11</v>
      </c>
      <c r="M56" s="2"/>
      <c r="N56" s="19">
        <f t="shared" si="1"/>
        <v>-1</v>
      </c>
      <c r="O56" s="11"/>
      <c r="P56" s="2">
        <f t="shared" si="8"/>
        <v>0</v>
      </c>
      <c r="Q56" s="2"/>
      <c r="R56" s="19"/>
      <c r="S56" s="2"/>
      <c r="T56" s="2">
        <f>--115.5</f>
        <v>115.5</v>
      </c>
      <c r="U56" s="2"/>
      <c r="V56" s="19"/>
      <c r="W56" s="2"/>
      <c r="X56" s="2">
        <f t="shared" si="2"/>
        <v>-115.5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"4200", " - ", "TAXABLE RETURNS")</f>
        <v xml:space="preserve">          4200 - TAXABLE RETURNS</v>
      </c>
      <c r="C57" s="11"/>
      <c r="D57" s="2">
        <f>-25690.22</f>
        <v>-25690.22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-25690.22</v>
      </c>
      <c r="M57" s="2"/>
      <c r="N57" s="19">
        <f t="shared" si="1"/>
        <v>0</v>
      </c>
      <c r="O57" s="11"/>
      <c r="P57" s="2">
        <f>-113109.03</f>
        <v>-113109.03</v>
      </c>
      <c r="Q57" s="2"/>
      <c r="R57" s="19"/>
      <c r="S57" s="2"/>
      <c r="T57" s="2">
        <f>0</f>
        <v>0</v>
      </c>
      <c r="U57" s="2"/>
      <c r="V57" s="19"/>
      <c r="W57" s="2"/>
      <c r="X57" s="2">
        <f t="shared" si="2"/>
        <v>-113109.03</v>
      </c>
      <c r="Y57" s="2"/>
      <c r="Z57" s="19">
        <f t="shared" si="3"/>
        <v>0</v>
      </c>
    </row>
    <row r="58" spans="1:26" s="24" customFormat="1" hidden="1" outlineLevel="1" x14ac:dyDescent="0.3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 t="shared" ref="D58:D69" si="10">0</f>
        <v>0</v>
      </c>
      <c r="E58" s="2"/>
      <c r="F58" s="19"/>
      <c r="G58" s="2"/>
      <c r="H58" s="2">
        <f>-12741.9</f>
        <v>-12741.9</v>
      </c>
      <c r="I58" s="2"/>
      <c r="J58" s="19"/>
      <c r="K58" s="2"/>
      <c r="L58" s="2">
        <f t="shared" si="0"/>
        <v>12741.9</v>
      </c>
      <c r="M58" s="2"/>
      <c r="N58" s="19">
        <f t="shared" si="1"/>
        <v>-1</v>
      </c>
      <c r="O58" s="11"/>
      <c r="P58" s="2">
        <f t="shared" ref="P58:P69" si="11">0</f>
        <v>0</v>
      </c>
      <c r="Q58" s="2"/>
      <c r="R58" s="19"/>
      <c r="S58" s="2"/>
      <c r="T58" s="2">
        <f>-48517.74</f>
        <v>-48517.74</v>
      </c>
      <c r="U58" s="2"/>
      <c r="V58" s="19"/>
      <c r="W58" s="2"/>
      <c r="X58" s="2">
        <f t="shared" si="2"/>
        <v>48517.74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 t="shared" si="10"/>
        <v>0</v>
      </c>
      <c r="E59" s="2"/>
      <c r="F59" s="19"/>
      <c r="G59" s="2"/>
      <c r="H59" s="2">
        <f>-4670.3</f>
        <v>-4670.3</v>
      </c>
      <c r="I59" s="2"/>
      <c r="J59" s="19"/>
      <c r="K59" s="2"/>
      <c r="L59" s="2">
        <f t="shared" si="0"/>
        <v>4670.3</v>
      </c>
      <c r="M59" s="2"/>
      <c r="N59" s="19">
        <f t="shared" si="1"/>
        <v>-1</v>
      </c>
      <c r="O59" s="11"/>
      <c r="P59" s="2">
        <f t="shared" si="11"/>
        <v>0</v>
      </c>
      <c r="Q59" s="2"/>
      <c r="R59" s="19"/>
      <c r="S59" s="2"/>
      <c r="T59" s="2">
        <f>-18536.3</f>
        <v>-18536.3</v>
      </c>
      <c r="U59" s="2"/>
      <c r="V59" s="19"/>
      <c r="W59" s="2"/>
      <c r="X59" s="2">
        <f t="shared" si="2"/>
        <v>18536.3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 t="shared" si="10"/>
        <v>0</v>
      </c>
      <c r="E60" s="2"/>
      <c r="F60" s="19"/>
      <c r="G60" s="2"/>
      <c r="H60" s="2">
        <f t="shared" ref="H60:H61" si="12"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 t="shared" si="11"/>
        <v>0</v>
      </c>
      <c r="Q60" s="2"/>
      <c r="R60" s="19"/>
      <c r="S60" s="2"/>
      <c r="T60" s="2">
        <f>-1630.85</f>
        <v>-1630.85</v>
      </c>
      <c r="U60" s="2"/>
      <c r="V60" s="19"/>
      <c r="W60" s="2"/>
      <c r="X60" s="2">
        <f t="shared" si="2"/>
        <v>1630.85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"4226", " - ", "SALES RETURN TAXABLE-WRITING I")</f>
        <v xml:space="preserve">          4226 - SALES RETURN TAXABLE-WRITING I</v>
      </c>
      <c r="C61" s="11"/>
      <c r="D61" s="2">
        <f t="shared" si="10"/>
        <v>0</v>
      </c>
      <c r="E61" s="2"/>
      <c r="F61" s="19"/>
      <c r="G61" s="2"/>
      <c r="H61" s="2">
        <f t="shared" si="12"/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 t="shared" si="11"/>
        <v>0</v>
      </c>
      <c r="Q61" s="2"/>
      <c r="R61" s="19"/>
      <c r="S61" s="2"/>
      <c r="T61" s="2">
        <f>-34.23</f>
        <v>-34.229999999999997</v>
      </c>
      <c r="U61" s="2"/>
      <c r="V61" s="19"/>
      <c r="W61" s="2"/>
      <c r="X61" s="2">
        <f t="shared" si="2"/>
        <v>34.229999999999997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"4227", " - ", "SALES RETURN TAXABLE-SCHOOL SU")</f>
        <v xml:space="preserve">          4227 - SALES RETURN TAXABLE-SCHOOL SU</v>
      </c>
      <c r="C62" s="11"/>
      <c r="D62" s="2">
        <f t="shared" si="10"/>
        <v>0</v>
      </c>
      <c r="E62" s="2"/>
      <c r="F62" s="19"/>
      <c r="G62" s="2"/>
      <c r="H62" s="2">
        <f>-126.22</f>
        <v>-126.22</v>
      </c>
      <c r="I62" s="2"/>
      <c r="J62" s="19"/>
      <c r="K62" s="2"/>
      <c r="L62" s="2">
        <f t="shared" si="0"/>
        <v>126.22</v>
      </c>
      <c r="M62" s="2"/>
      <c r="N62" s="19">
        <f t="shared" si="1"/>
        <v>-1</v>
      </c>
      <c r="O62" s="11"/>
      <c r="P62" s="2">
        <f t="shared" si="11"/>
        <v>0</v>
      </c>
      <c r="Q62" s="2"/>
      <c r="R62" s="19"/>
      <c r="S62" s="2"/>
      <c r="T62" s="2">
        <f>-762.68</f>
        <v>-762.68</v>
      </c>
      <c r="U62" s="2"/>
      <c r="V62" s="19"/>
      <c r="W62" s="2"/>
      <c r="X62" s="2">
        <f t="shared" si="2"/>
        <v>762.68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"4228", " - ", "SALES RETURN TAXABLE-ART/TECH")</f>
        <v xml:space="preserve">          4228 - SALES RETURN TAXABLE-ART/TECH</v>
      </c>
      <c r="C63" s="11"/>
      <c r="D63" s="2">
        <f t="shared" si="10"/>
        <v>0</v>
      </c>
      <c r="E63" s="2"/>
      <c r="F63" s="19"/>
      <c r="G63" s="2"/>
      <c r="H63" s="2">
        <f>-12473.84</f>
        <v>-12473.84</v>
      </c>
      <c r="I63" s="2"/>
      <c r="J63" s="19"/>
      <c r="K63" s="2"/>
      <c r="L63" s="2">
        <f t="shared" si="0"/>
        <v>12473.84</v>
      </c>
      <c r="M63" s="2"/>
      <c r="N63" s="19">
        <f t="shared" si="1"/>
        <v>-1</v>
      </c>
      <c r="O63" s="11"/>
      <c r="P63" s="2">
        <f t="shared" si="11"/>
        <v>0</v>
      </c>
      <c r="Q63" s="2"/>
      <c r="R63" s="19"/>
      <c r="S63" s="2"/>
      <c r="T63" s="2">
        <f>-12728.53</f>
        <v>-12728.53</v>
      </c>
      <c r="U63" s="2"/>
      <c r="V63" s="19"/>
      <c r="W63" s="2"/>
      <c r="X63" s="2">
        <f t="shared" si="2"/>
        <v>12728.53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"4240", " - ", "SALES RETURN TAXABLE-LOGO CLOT")</f>
        <v xml:space="preserve">          4240 - SALES RETURN TAXABLE-LOGO CLOT</v>
      </c>
      <c r="C64" s="11"/>
      <c r="D64" s="2">
        <f t="shared" si="10"/>
        <v>0</v>
      </c>
      <c r="E64" s="2"/>
      <c r="F64" s="19"/>
      <c r="G64" s="2"/>
      <c r="H64" s="2">
        <f>-7168.03</f>
        <v>-7168.03</v>
      </c>
      <c r="I64" s="2"/>
      <c r="J64" s="19"/>
      <c r="K64" s="2"/>
      <c r="L64" s="2">
        <f t="shared" si="0"/>
        <v>7168.03</v>
      </c>
      <c r="M64" s="2"/>
      <c r="N64" s="19">
        <f t="shared" si="1"/>
        <v>-1</v>
      </c>
      <c r="O64" s="11"/>
      <c r="P64" s="2">
        <f t="shared" si="11"/>
        <v>0</v>
      </c>
      <c r="Q64" s="2"/>
      <c r="R64" s="19"/>
      <c r="S64" s="2"/>
      <c r="T64" s="2">
        <f>-27586.87</f>
        <v>-27586.87</v>
      </c>
      <c r="U64" s="2"/>
      <c r="V64" s="19"/>
      <c r="W64" s="2"/>
      <c r="X64" s="2">
        <f t="shared" si="2"/>
        <v>27586.87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"4241", " - ", "SALES RETURN TAXABLE-LOGO GIFT")</f>
        <v xml:space="preserve">          4241 - SALES RETURN TAXABLE-LOGO GIFT</v>
      </c>
      <c r="C65" s="11"/>
      <c r="D65" s="2">
        <f t="shared" si="10"/>
        <v>0</v>
      </c>
      <c r="E65" s="2"/>
      <c r="F65" s="19"/>
      <c r="G65" s="2"/>
      <c r="H65" s="2">
        <f>-1397.46</f>
        <v>-1397.46</v>
      </c>
      <c r="I65" s="2"/>
      <c r="J65" s="19"/>
      <c r="K65" s="2"/>
      <c r="L65" s="2">
        <f t="shared" si="0"/>
        <v>1397.46</v>
      </c>
      <c r="M65" s="2"/>
      <c r="N65" s="19">
        <f t="shared" si="1"/>
        <v>-1</v>
      </c>
      <c r="O65" s="11"/>
      <c r="P65" s="2">
        <f t="shared" si="11"/>
        <v>0</v>
      </c>
      <c r="Q65" s="2"/>
      <c r="R65" s="19"/>
      <c r="S65" s="2"/>
      <c r="T65" s="2">
        <f>-4957.47</f>
        <v>-4957.47</v>
      </c>
      <c r="U65" s="2"/>
      <c r="V65" s="19"/>
      <c r="W65" s="2"/>
      <c r="X65" s="2">
        <f t="shared" si="2"/>
        <v>4957.47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"4242", " - ", "SALES RETURN TAXABLE-EVERYDAY")</f>
        <v xml:space="preserve">          4242 - SALES RETURN TAXABLE-EVERYDAY</v>
      </c>
      <c r="C66" s="11"/>
      <c r="D66" s="2">
        <f t="shared" si="10"/>
        <v>0</v>
      </c>
      <c r="E66" s="2"/>
      <c r="F66" s="19"/>
      <c r="G66" s="2"/>
      <c r="H66" s="2">
        <f>-76.86</f>
        <v>-76.86</v>
      </c>
      <c r="I66" s="2"/>
      <c r="J66" s="19"/>
      <c r="K66" s="2"/>
      <c r="L66" s="2">
        <f t="shared" si="0"/>
        <v>76.86</v>
      </c>
      <c r="M66" s="2"/>
      <c r="N66" s="19">
        <f t="shared" si="1"/>
        <v>-1</v>
      </c>
      <c r="O66" s="11"/>
      <c r="P66" s="2">
        <f t="shared" si="11"/>
        <v>0</v>
      </c>
      <c r="Q66" s="2"/>
      <c r="R66" s="19"/>
      <c r="S66" s="2"/>
      <c r="T66" s="2">
        <f>-1693.78</f>
        <v>-1693.78</v>
      </c>
      <c r="U66" s="2"/>
      <c r="V66" s="19"/>
      <c r="W66" s="2"/>
      <c r="X66" s="2">
        <f t="shared" si="2"/>
        <v>1693.78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"4243", " - ", "SALES RETURN TAXABLE-CARDS")</f>
        <v xml:space="preserve">          4243 - SALES RETURN TAXABLE-CARDS</v>
      </c>
      <c r="C67" s="11"/>
      <c r="D67" s="2">
        <f t="shared" si="10"/>
        <v>0</v>
      </c>
      <c r="E67" s="2"/>
      <c r="F67" s="19"/>
      <c r="G67" s="2"/>
      <c r="H67" s="2">
        <f>-1422.25</f>
        <v>-1422.25</v>
      </c>
      <c r="I67" s="2"/>
      <c r="J67" s="19"/>
      <c r="K67" s="2"/>
      <c r="L67" s="2">
        <f t="shared" si="0"/>
        <v>1422.25</v>
      </c>
      <c r="M67" s="2"/>
      <c r="N67" s="19">
        <f t="shared" si="1"/>
        <v>-1</v>
      </c>
      <c r="O67" s="11"/>
      <c r="P67" s="2">
        <f t="shared" si="11"/>
        <v>0</v>
      </c>
      <c r="Q67" s="2"/>
      <c r="R67" s="19"/>
      <c r="S67" s="2"/>
      <c r="T67" s="2">
        <f>-4999.79</f>
        <v>-4999.79</v>
      </c>
      <c r="U67" s="2"/>
      <c r="V67" s="19"/>
      <c r="W67" s="2"/>
      <c r="X67" s="2">
        <f t="shared" si="2"/>
        <v>4999.79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"4244", " - ", "SALES RETURN TAXABLE-ACCESSORI")</f>
        <v xml:space="preserve">          4244 - SALES RETURN TAXABLE-ACCESSORI</v>
      </c>
      <c r="C68" s="11"/>
      <c r="D68" s="2">
        <f t="shared" si="10"/>
        <v>0</v>
      </c>
      <c r="E68" s="2"/>
      <c r="F68" s="19"/>
      <c r="G68" s="2"/>
      <c r="H68" s="2">
        <f>-93.98</f>
        <v>-93.98</v>
      </c>
      <c r="I68" s="2"/>
      <c r="J68" s="19"/>
      <c r="K68" s="2"/>
      <c r="L68" s="2">
        <f t="shared" si="0"/>
        <v>93.98</v>
      </c>
      <c r="M68" s="2"/>
      <c r="N68" s="19">
        <f t="shared" si="1"/>
        <v>-1</v>
      </c>
      <c r="O68" s="11"/>
      <c r="P68" s="2">
        <f t="shared" si="11"/>
        <v>0</v>
      </c>
      <c r="Q68" s="2"/>
      <c r="R68" s="19"/>
      <c r="S68" s="2"/>
      <c r="T68" s="2">
        <f>-984.85</f>
        <v>-984.85</v>
      </c>
      <c r="U68" s="2"/>
      <c r="V68" s="19"/>
      <c r="W68" s="2"/>
      <c r="X68" s="2">
        <f t="shared" si="2"/>
        <v>984.85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"4245", " - ", "SALES RETURN TAXABLE-SPECIAL O")</f>
        <v xml:space="preserve">          4245 - SALES RETURN TAXABLE-SPECIAL O</v>
      </c>
      <c r="C69" s="11"/>
      <c r="D69" s="2">
        <f t="shared" si="10"/>
        <v>0</v>
      </c>
      <c r="E69" s="2"/>
      <c r="F69" s="19"/>
      <c r="G69" s="2"/>
      <c r="H69" s="2">
        <f t="shared" ref="H69:H70" si="13"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 t="shared" si="11"/>
        <v>0</v>
      </c>
      <c r="Q69" s="2"/>
      <c r="R69" s="19"/>
      <c r="S69" s="2"/>
      <c r="T69" s="2">
        <f>-11345.61</f>
        <v>-11345.61</v>
      </c>
      <c r="U69" s="2"/>
      <c r="V69" s="19"/>
      <c r="W69" s="2"/>
      <c r="X69" s="2">
        <f t="shared" si="2"/>
        <v>11345.61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"4300", " - ", "NON-TAX RETURNS")</f>
        <v xml:space="preserve">          4300 - NON-TAX RETURNS</v>
      </c>
      <c r="C70" s="11"/>
      <c r="D70" s="2">
        <f>-874.74</f>
        <v>-874.74</v>
      </c>
      <c r="E70" s="2"/>
      <c r="F70" s="19"/>
      <c r="G70" s="2"/>
      <c r="H70" s="2">
        <f t="shared" si="13"/>
        <v>0</v>
      </c>
      <c r="I70" s="2"/>
      <c r="J70" s="19"/>
      <c r="K70" s="2"/>
      <c r="L70" s="2">
        <f t="shared" si="0"/>
        <v>-874.74</v>
      </c>
      <c r="M70" s="2"/>
      <c r="N70" s="19">
        <f t="shared" si="1"/>
        <v>0</v>
      </c>
      <c r="O70" s="11"/>
      <c r="P70" s="2">
        <f>-28054.08</f>
        <v>-28054.080000000002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-28054.080000000002</v>
      </c>
      <c r="Y70" s="2"/>
      <c r="Z70" s="19">
        <f t="shared" si="3"/>
        <v>0</v>
      </c>
    </row>
    <row r="71" spans="1:26" s="24" customFormat="1" hidden="1" outlineLevel="1" x14ac:dyDescent="0.3">
      <c r="A71" s="44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 t="shared" ref="D71:D76" si="14">0</f>
        <v>0</v>
      </c>
      <c r="E71" s="2"/>
      <c r="F71" s="19"/>
      <c r="G71" s="2"/>
      <c r="H71" s="2">
        <f>-256.69</f>
        <v>-256.69</v>
      </c>
      <c r="I71" s="2"/>
      <c r="J71" s="19"/>
      <c r="K71" s="2"/>
      <c r="L71" s="2">
        <f t="shared" si="0"/>
        <v>256.69</v>
      </c>
      <c r="M71" s="2"/>
      <c r="N71" s="19">
        <f t="shared" si="1"/>
        <v>-1</v>
      </c>
      <c r="O71" s="11"/>
      <c r="P71" s="2">
        <f t="shared" ref="P71:P76" si="15">0</f>
        <v>0</v>
      </c>
      <c r="Q71" s="2"/>
      <c r="R71" s="19"/>
      <c r="S71" s="2"/>
      <c r="T71" s="2">
        <f>-3005.79</f>
        <v>-3005.79</v>
      </c>
      <c r="U71" s="2"/>
      <c r="V71" s="19"/>
      <c r="W71" s="2"/>
      <c r="X71" s="2">
        <f t="shared" si="2"/>
        <v>3005.79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 t="shared" si="14"/>
        <v>0</v>
      </c>
      <c r="E72" s="2"/>
      <c r="F72" s="19"/>
      <c r="G72" s="2"/>
      <c r="H72" s="2">
        <f>-532.96</f>
        <v>-532.96</v>
      </c>
      <c r="I72" s="2"/>
      <c r="J72" s="19"/>
      <c r="K72" s="2"/>
      <c r="L72" s="2">
        <f t="shared" si="0"/>
        <v>532.96</v>
      </c>
      <c r="M72" s="2"/>
      <c r="N72" s="19">
        <f t="shared" si="1"/>
        <v>-1</v>
      </c>
      <c r="O72" s="11"/>
      <c r="P72" s="2">
        <f t="shared" si="15"/>
        <v>0</v>
      </c>
      <c r="Q72" s="2"/>
      <c r="R72" s="19"/>
      <c r="S72" s="2"/>
      <c r="T72" s="2">
        <f>-2003.16</f>
        <v>-2003.16</v>
      </c>
      <c r="U72" s="2"/>
      <c r="V72" s="19"/>
      <c r="W72" s="2"/>
      <c r="X72" s="2">
        <f t="shared" si="2"/>
        <v>2003.16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 t="shared" si="14"/>
        <v>0</v>
      </c>
      <c r="E73" s="2"/>
      <c r="F73" s="19"/>
      <c r="G73" s="2"/>
      <c r="H73" s="2">
        <f>-10673</f>
        <v>-10673</v>
      </c>
      <c r="I73" s="2"/>
      <c r="J73" s="19"/>
      <c r="K73" s="2"/>
      <c r="L73" s="2">
        <f t="shared" si="0"/>
        <v>10673</v>
      </c>
      <c r="M73" s="2"/>
      <c r="N73" s="19">
        <f t="shared" si="1"/>
        <v>-1</v>
      </c>
      <c r="O73" s="11"/>
      <c r="P73" s="2">
        <f t="shared" si="15"/>
        <v>0</v>
      </c>
      <c r="Q73" s="2"/>
      <c r="R73" s="19"/>
      <c r="S73" s="2"/>
      <c r="T73" s="2">
        <f>-25095.77</f>
        <v>-25095.77</v>
      </c>
      <c r="U73" s="2"/>
      <c r="V73" s="19"/>
      <c r="W73" s="2"/>
      <c r="X73" s="2">
        <f t="shared" si="2"/>
        <v>25095.77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 t="shared" si="14"/>
        <v>0</v>
      </c>
      <c r="E74" s="2"/>
      <c r="F74" s="19"/>
      <c r="G74" s="2"/>
      <c r="H74" s="2">
        <f>-732.22</f>
        <v>-732.22</v>
      </c>
      <c r="I74" s="2"/>
      <c r="J74" s="19"/>
      <c r="K74" s="2"/>
      <c r="L74" s="2">
        <f t="shared" si="0"/>
        <v>732.22</v>
      </c>
      <c r="M74" s="2"/>
      <c r="N74" s="19">
        <f t="shared" si="1"/>
        <v>-1</v>
      </c>
      <c r="O74" s="11"/>
      <c r="P74" s="2">
        <f t="shared" si="15"/>
        <v>0</v>
      </c>
      <c r="Q74" s="2"/>
      <c r="R74" s="19"/>
      <c r="S74" s="2"/>
      <c r="T74" s="2">
        <f>-2215.94</f>
        <v>-2215.94</v>
      </c>
      <c r="U74" s="2"/>
      <c r="V74" s="19"/>
      <c r="W74" s="2"/>
      <c r="X74" s="2">
        <f t="shared" si="2"/>
        <v>2215.94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 t="shared" si="14"/>
        <v>0</v>
      </c>
      <c r="E75" s="2"/>
      <c r="F75" s="19"/>
      <c r="G75" s="2"/>
      <c r="H75" s="2">
        <f>-27</f>
        <v>-27</v>
      </c>
      <c r="I75" s="2"/>
      <c r="J75" s="19"/>
      <c r="K75" s="2"/>
      <c r="L75" s="2">
        <f t="shared" si="0"/>
        <v>27</v>
      </c>
      <c r="M75" s="2"/>
      <c r="N75" s="19">
        <f t="shared" si="1"/>
        <v>-1</v>
      </c>
      <c r="O75" s="11"/>
      <c r="P75" s="2">
        <f t="shared" si="15"/>
        <v>0</v>
      </c>
      <c r="Q75" s="2"/>
      <c r="R75" s="19"/>
      <c r="S75" s="2"/>
      <c r="T75" s="2">
        <f>-362.64</f>
        <v>-362.64</v>
      </c>
      <c r="U75" s="2"/>
      <c r="V75" s="19"/>
      <c r="W75" s="2"/>
      <c r="X75" s="2">
        <f t="shared" si="2"/>
        <v>362.64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 t="shared" si="14"/>
        <v>0</v>
      </c>
      <c r="E76" s="2"/>
      <c r="F76" s="19"/>
      <c r="G76" s="2"/>
      <c r="H76" s="2">
        <f t="shared" ref="H76:H77" si="16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5"/>
        <v>0</v>
      </c>
      <c r="Q76" s="2"/>
      <c r="R76" s="19"/>
      <c r="S76" s="2"/>
      <c r="T76" s="2">
        <f>-118.7</f>
        <v>-118.7</v>
      </c>
      <c r="U76" s="2"/>
      <c r="V76" s="19"/>
      <c r="W76" s="2"/>
      <c r="X76" s="2">
        <f t="shared" si="2"/>
        <v>118.7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"4500", " - ", "SALES DISCOUNT")</f>
        <v xml:space="preserve">          4500 - SALES DISCOUNT</v>
      </c>
      <c r="C77" s="11"/>
      <c r="D77" s="2">
        <f>-6387.84</f>
        <v>-6387.84</v>
      </c>
      <c r="E77" s="2"/>
      <c r="F77" s="19"/>
      <c r="G77" s="2"/>
      <c r="H77" s="2">
        <f t="shared" si="16"/>
        <v>0</v>
      </c>
      <c r="I77" s="2"/>
      <c r="J77" s="19"/>
      <c r="K77" s="2"/>
      <c r="L77" s="2">
        <f t="shared" si="0"/>
        <v>-6387.84</v>
      </c>
      <c r="M77" s="2"/>
      <c r="N77" s="19">
        <f t="shared" si="1"/>
        <v>0</v>
      </c>
      <c r="O77" s="11"/>
      <c r="P77" s="2">
        <f>-70393.95</f>
        <v>-70393.95</v>
      </c>
      <c r="Q77" s="2"/>
      <c r="R77" s="19"/>
      <c r="S77" s="2"/>
      <c r="T77" s="2">
        <f>0</f>
        <v>0</v>
      </c>
      <c r="U77" s="2"/>
      <c r="V77" s="19"/>
      <c r="W77" s="2"/>
      <c r="X77" s="2">
        <f t="shared" si="2"/>
        <v>-70393.95</v>
      </c>
      <c r="Y77" s="2"/>
      <c r="Z77" s="19">
        <f t="shared" si="3"/>
        <v>0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3">
      <c r="A79" s="10"/>
      <c r="B79" s="26" t="s">
        <v>256</v>
      </c>
      <c r="C79" s="10"/>
      <c r="D79" s="4">
        <f>SUM(OSRRefD16x_0)</f>
        <v>451554.38</v>
      </c>
      <c r="E79" s="4"/>
      <c r="F79" s="12">
        <f t="shared" ref="F79:F119" si="17">IF(D$12=0,0,D79/D$12)</f>
        <v>0.59764658309948615</v>
      </c>
      <c r="G79" s="4"/>
      <c r="H79" s="4">
        <f>SUM(OSRRefH16x_0)</f>
        <v>771593.34000000008</v>
      </c>
      <c r="I79" s="4"/>
      <c r="J79" s="12">
        <f t="shared" ref="J79:J119" si="18">IF(H$12=0,0,H79/H$12)</f>
        <v>0.65454513712580265</v>
      </c>
      <c r="K79" s="4"/>
      <c r="L79" s="4">
        <f t="shared" ref="L79:L119" si="19">+D79-H79</f>
        <v>-320038.96000000008</v>
      </c>
      <c r="M79" s="4"/>
      <c r="N79" s="12">
        <f t="shared" ref="N79:N119" si="20">IF(H79=0,0,L79/H79)</f>
        <v>-0.41477672681830047</v>
      </c>
      <c r="O79" s="10"/>
      <c r="P79" s="4">
        <f>SUM(OSRRefP16x_0)</f>
        <v>2663476.7099999995</v>
      </c>
      <c r="Q79" s="4"/>
      <c r="R79" s="12">
        <f t="shared" ref="R79:R119" si="21">IF(P$12=0,0,P79/P$12)</f>
        <v>0.60304888469078766</v>
      </c>
      <c r="S79" s="4"/>
      <c r="T79" s="4">
        <f>SUM(OSRRefT16x_0)</f>
        <v>2506216.7700000005</v>
      </c>
      <c r="U79" s="4"/>
      <c r="V79" s="12">
        <f t="shared" ref="V79:V119" si="22">IF(T$12=0,0,T79/T$12)</f>
        <v>0.64635888901899496</v>
      </c>
      <c r="W79" s="4"/>
      <c r="X79" s="4">
        <f t="shared" ref="X79:X119" si="23">+P79-T79</f>
        <v>157259.93999999901</v>
      </c>
      <c r="Y79" s="4"/>
      <c r="Z79" s="12">
        <f t="shared" ref="Z79:Z119" si="24">IF(T79=0,0,X79/T79)</f>
        <v>6.2747940195132829E-2</v>
      </c>
    </row>
    <row r="80" spans="1:26" s="24" customFormat="1" hidden="1" outlineLevel="1" x14ac:dyDescent="0.3">
      <c r="A80" s="44"/>
      <c r="B80" s="11" t="str">
        <f>CONCATENATE("          ", "5000", " - ", "PURCHASES @ COST")</f>
        <v xml:space="preserve">          5000 - PURCHASES @ COST</v>
      </c>
      <c r="C80" s="11"/>
      <c r="D80" s="2">
        <v>488333.93</v>
      </c>
      <c r="E80" s="2"/>
      <c r="F80" s="19">
        <f t="shared" si="17"/>
        <v>0.64632548725591732</v>
      </c>
      <c r="G80" s="2"/>
      <c r="H80" s="2">
        <v>0</v>
      </c>
      <c r="I80" s="2"/>
      <c r="J80" s="19">
        <f t="shared" si="18"/>
        <v>0</v>
      </c>
      <c r="K80" s="2"/>
      <c r="L80" s="2">
        <f t="shared" si="19"/>
        <v>488333.93</v>
      </c>
      <c r="M80" s="2"/>
      <c r="N80" s="19">
        <f t="shared" si="20"/>
        <v>0</v>
      </c>
      <c r="O80" s="11"/>
      <c r="P80" s="2">
        <v>3020258.34</v>
      </c>
      <c r="Q80" s="2"/>
      <c r="R80" s="19">
        <f t="shared" si="21"/>
        <v>0.68382930347269677</v>
      </c>
      <c r="S80" s="2"/>
      <c r="T80" s="2">
        <v>0</v>
      </c>
      <c r="U80" s="2"/>
      <c r="V80" s="19">
        <f t="shared" si="22"/>
        <v>0</v>
      </c>
      <c r="W80" s="2"/>
      <c r="X80" s="2">
        <f t="shared" si="23"/>
        <v>3020258.34</v>
      </c>
      <c r="Y80" s="2"/>
      <c r="Z80" s="19">
        <f t="shared" si="24"/>
        <v>0</v>
      </c>
    </row>
    <row r="81" spans="1:26" s="24" customFormat="1" hidden="1" outlineLevel="1" x14ac:dyDescent="0.3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/>
      <c r="E81" s="2"/>
      <c r="F81" s="19">
        <f t="shared" si="17"/>
        <v>0</v>
      </c>
      <c r="G81" s="2"/>
      <c r="H81" s="2">
        <v>381096.17</v>
      </c>
      <c r="I81" s="2"/>
      <c r="J81" s="19">
        <f t="shared" si="18"/>
        <v>0.32328511914160396</v>
      </c>
      <c r="K81" s="2"/>
      <c r="L81" s="2">
        <f t="shared" si="19"/>
        <v>-381096.17</v>
      </c>
      <c r="M81" s="2"/>
      <c r="N81" s="19">
        <f t="shared" si="20"/>
        <v>-1</v>
      </c>
      <c r="O81" s="11"/>
      <c r="P81" s="2">
        <v>0</v>
      </c>
      <c r="Q81" s="2"/>
      <c r="R81" s="19">
        <f t="shared" si="21"/>
        <v>0</v>
      </c>
      <c r="S81" s="2"/>
      <c r="T81" s="2">
        <v>1659009.21</v>
      </c>
      <c r="U81" s="2"/>
      <c r="V81" s="19">
        <f t="shared" si="22"/>
        <v>0.42786217165400275</v>
      </c>
      <c r="W81" s="2"/>
      <c r="X81" s="2">
        <f t="shared" si="23"/>
        <v>-1659009.21</v>
      </c>
      <c r="Y81" s="2"/>
      <c r="Z81" s="19">
        <f t="shared" si="24"/>
        <v>-1</v>
      </c>
    </row>
    <row r="82" spans="1:26" s="24" customFormat="1" hidden="1" outlineLevel="1" x14ac:dyDescent="0.3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/>
      <c r="E82" s="2"/>
      <c r="F82" s="19">
        <f t="shared" si="17"/>
        <v>0</v>
      </c>
      <c r="G82" s="2"/>
      <c r="H82" s="2">
        <v>95863.360000000001</v>
      </c>
      <c r="I82" s="2"/>
      <c r="J82" s="19">
        <f t="shared" si="18"/>
        <v>8.1321199735264915E-2</v>
      </c>
      <c r="K82" s="2"/>
      <c r="L82" s="2">
        <f t="shared" si="19"/>
        <v>-95863.360000000001</v>
      </c>
      <c r="M82" s="2"/>
      <c r="N82" s="19">
        <f t="shared" si="20"/>
        <v>-1</v>
      </c>
      <c r="O82" s="11"/>
      <c r="P82" s="2">
        <v>0</v>
      </c>
      <c r="Q82" s="2"/>
      <c r="R82" s="19">
        <f t="shared" si="21"/>
        <v>0</v>
      </c>
      <c r="S82" s="2"/>
      <c r="T82" s="2">
        <v>260336.28</v>
      </c>
      <c r="U82" s="2"/>
      <c r="V82" s="19">
        <f t="shared" si="22"/>
        <v>6.7141306660452191E-2</v>
      </c>
      <c r="W82" s="2"/>
      <c r="X82" s="2">
        <f t="shared" si="23"/>
        <v>-260336.28</v>
      </c>
      <c r="Y82" s="2"/>
      <c r="Z82" s="19">
        <f t="shared" si="24"/>
        <v>-1</v>
      </c>
    </row>
    <row r="83" spans="1:26" s="24" customFormat="1" hidden="1" outlineLevel="1" x14ac:dyDescent="0.3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17"/>
        <v>0</v>
      </c>
      <c r="G83" s="2"/>
      <c r="H83" s="2"/>
      <c r="I83" s="2"/>
      <c r="J83" s="19">
        <f t="shared" si="18"/>
        <v>0</v>
      </c>
      <c r="K83" s="2"/>
      <c r="L83" s="2">
        <f t="shared" si="19"/>
        <v>0</v>
      </c>
      <c r="M83" s="2"/>
      <c r="N83" s="19">
        <f t="shared" si="20"/>
        <v>0</v>
      </c>
      <c r="O83" s="11"/>
      <c r="P83" s="2"/>
      <c r="Q83" s="2"/>
      <c r="R83" s="19">
        <f t="shared" si="21"/>
        <v>0</v>
      </c>
      <c r="S83" s="2"/>
      <c r="T83" s="2">
        <v>32.520000000000003</v>
      </c>
      <c r="U83" s="2"/>
      <c r="V83" s="19">
        <f t="shared" si="22"/>
        <v>8.3869804569609171E-6</v>
      </c>
      <c r="W83" s="2"/>
      <c r="X83" s="2">
        <f t="shared" si="23"/>
        <v>-32.520000000000003</v>
      </c>
      <c r="Y83" s="2"/>
      <c r="Z83" s="19">
        <f t="shared" si="24"/>
        <v>-1</v>
      </c>
    </row>
    <row r="84" spans="1:26" s="24" customFormat="1" hidden="1" outlineLevel="1" x14ac:dyDescent="0.3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/>
      <c r="E84" s="2"/>
      <c r="F84" s="19">
        <f t="shared" si="17"/>
        <v>0</v>
      </c>
      <c r="G84" s="2"/>
      <c r="H84" s="2">
        <v>18888.45</v>
      </c>
      <c r="I84" s="2"/>
      <c r="J84" s="19">
        <f t="shared" si="18"/>
        <v>1.6023133501053631E-2</v>
      </c>
      <c r="K84" s="2"/>
      <c r="L84" s="2">
        <f t="shared" si="19"/>
        <v>-18888.45</v>
      </c>
      <c r="M84" s="2"/>
      <c r="N84" s="19">
        <f t="shared" si="20"/>
        <v>-1</v>
      </c>
      <c r="O84" s="11"/>
      <c r="P84" s="2">
        <v>0</v>
      </c>
      <c r="Q84" s="2"/>
      <c r="R84" s="19">
        <f t="shared" si="21"/>
        <v>0</v>
      </c>
      <c r="S84" s="2"/>
      <c r="T84" s="2">
        <v>216726.56</v>
      </c>
      <c r="U84" s="2"/>
      <c r="V84" s="19">
        <f t="shared" si="22"/>
        <v>5.5894262706776374E-2</v>
      </c>
      <c r="W84" s="2"/>
      <c r="X84" s="2">
        <f t="shared" si="23"/>
        <v>-216726.56</v>
      </c>
      <c r="Y84" s="2"/>
      <c r="Z84" s="19">
        <f t="shared" si="24"/>
        <v>-1</v>
      </c>
    </row>
    <row r="85" spans="1:26" s="24" customFormat="1" hidden="1" outlineLevel="1" x14ac:dyDescent="0.3">
      <c r="A85" s="44"/>
      <c r="B85" s="11" t="str">
        <f>CONCATENATE("          ", "5011", " - ", "PURCHASES @ COST-NO VALUE TEXT")</f>
        <v xml:space="preserve">          5011 - PURCHASES @ COST-NO VALUE TEXT</v>
      </c>
      <c r="C85" s="11"/>
      <c r="D85" s="2"/>
      <c r="E85" s="2"/>
      <c r="F85" s="19">
        <f t="shared" si="17"/>
        <v>0</v>
      </c>
      <c r="G85" s="2"/>
      <c r="H85" s="2"/>
      <c r="I85" s="2"/>
      <c r="J85" s="19">
        <f t="shared" si="18"/>
        <v>0</v>
      </c>
      <c r="K85" s="2"/>
      <c r="L85" s="2">
        <f t="shared" si="19"/>
        <v>0</v>
      </c>
      <c r="M85" s="2"/>
      <c r="N85" s="19">
        <f t="shared" si="20"/>
        <v>0</v>
      </c>
      <c r="O85" s="11"/>
      <c r="P85" s="2"/>
      <c r="Q85" s="2"/>
      <c r="R85" s="19">
        <f t="shared" si="21"/>
        <v>0</v>
      </c>
      <c r="S85" s="2"/>
      <c r="T85" s="2">
        <v>67.17</v>
      </c>
      <c r="U85" s="2"/>
      <c r="V85" s="19">
        <f t="shared" si="22"/>
        <v>1.7323292659719091E-5</v>
      </c>
      <c r="W85" s="2"/>
      <c r="X85" s="2">
        <f t="shared" si="23"/>
        <v>-67.17</v>
      </c>
      <c r="Y85" s="2"/>
      <c r="Z85" s="19">
        <f t="shared" si="24"/>
        <v>-1</v>
      </c>
    </row>
    <row r="86" spans="1:26" s="24" customFormat="1" hidden="1" outlineLevel="1" x14ac:dyDescent="0.3">
      <c r="A86" s="44"/>
      <c r="B86" s="11" t="str">
        <f>CONCATENATE("          ", "5013", " - ", "PURCHASES @ COST-TRADE BOOKS")</f>
        <v xml:space="preserve">          5013 - PURCHASES @ COST-TRADE BOOKS</v>
      </c>
      <c r="C86" s="11"/>
      <c r="D86" s="2"/>
      <c r="E86" s="2"/>
      <c r="F86" s="19">
        <f t="shared" si="17"/>
        <v>0</v>
      </c>
      <c r="G86" s="2"/>
      <c r="H86" s="2">
        <v>3531.13</v>
      </c>
      <c r="I86" s="2"/>
      <c r="J86" s="19">
        <f t="shared" si="18"/>
        <v>2.9954690511701867E-3</v>
      </c>
      <c r="K86" s="2"/>
      <c r="L86" s="2">
        <f t="shared" si="19"/>
        <v>-3531.13</v>
      </c>
      <c r="M86" s="2"/>
      <c r="N86" s="19">
        <f t="shared" si="20"/>
        <v>-1</v>
      </c>
      <c r="O86" s="11"/>
      <c r="P86" s="2"/>
      <c r="Q86" s="2"/>
      <c r="R86" s="19">
        <f t="shared" si="21"/>
        <v>0</v>
      </c>
      <c r="S86" s="2"/>
      <c r="T86" s="2">
        <v>5656.98</v>
      </c>
      <c r="U86" s="2"/>
      <c r="V86" s="19">
        <f t="shared" si="22"/>
        <v>1.4589477461690887E-3</v>
      </c>
      <c r="W86" s="2"/>
      <c r="X86" s="2">
        <f t="shared" si="23"/>
        <v>-5656.98</v>
      </c>
      <c r="Y86" s="2"/>
      <c r="Z86" s="19">
        <f t="shared" si="24"/>
        <v>-1</v>
      </c>
    </row>
    <row r="87" spans="1:26" s="24" customFormat="1" hidden="1" outlineLevel="1" x14ac:dyDescent="0.3">
      <c r="A87" s="44"/>
      <c r="B87" s="11" t="str">
        <f>CONCATENATE("          ", "5014", " - ", "PURCHASES @ COST-REMAINDERS")</f>
        <v xml:space="preserve">          5014 - PURCHASES @ COST-REMAINDERS</v>
      </c>
      <c r="C87" s="11"/>
      <c r="D87" s="2"/>
      <c r="E87" s="2"/>
      <c r="F87" s="19">
        <f t="shared" si="17"/>
        <v>0</v>
      </c>
      <c r="G87" s="2"/>
      <c r="H87" s="2"/>
      <c r="I87" s="2"/>
      <c r="J87" s="19">
        <f t="shared" si="18"/>
        <v>0</v>
      </c>
      <c r="K87" s="2"/>
      <c r="L87" s="2">
        <f t="shared" si="19"/>
        <v>0</v>
      </c>
      <c r="M87" s="2"/>
      <c r="N87" s="19">
        <f t="shared" si="20"/>
        <v>0</v>
      </c>
      <c r="O87" s="11"/>
      <c r="P87" s="2"/>
      <c r="Q87" s="2"/>
      <c r="R87" s="19">
        <f t="shared" si="21"/>
        <v>0</v>
      </c>
      <c r="S87" s="2"/>
      <c r="T87" s="2">
        <v>90.41</v>
      </c>
      <c r="U87" s="2"/>
      <c r="V87" s="19">
        <f t="shared" si="22"/>
        <v>2.3316940440154874E-5</v>
      </c>
      <c r="W87" s="2"/>
      <c r="X87" s="2">
        <f t="shared" si="23"/>
        <v>-90.41</v>
      </c>
      <c r="Y87" s="2"/>
      <c r="Z87" s="19">
        <f t="shared" si="24"/>
        <v>-1</v>
      </c>
    </row>
    <row r="88" spans="1:26" s="24" customFormat="1" hidden="1" outlineLevel="1" x14ac:dyDescent="0.3">
      <c r="A88" s="44"/>
      <c r="B88" s="11" t="str">
        <f>CONCATENATE("          ", "5018", " - ", "PURCHASES @ COST-STUDY GUIDES")</f>
        <v xml:space="preserve">          5018 - PURCHASES @ COST-STUDY GUIDES</v>
      </c>
      <c r="C88" s="11"/>
      <c r="D88" s="2"/>
      <c r="E88" s="2"/>
      <c r="F88" s="19">
        <f t="shared" si="17"/>
        <v>0</v>
      </c>
      <c r="G88" s="2"/>
      <c r="H88" s="2">
        <v>416</v>
      </c>
      <c r="I88" s="2"/>
      <c r="J88" s="19">
        <f t="shared" si="18"/>
        <v>3.5289415152849019E-4</v>
      </c>
      <c r="K88" s="2"/>
      <c r="L88" s="2">
        <f t="shared" si="19"/>
        <v>-416</v>
      </c>
      <c r="M88" s="2"/>
      <c r="N88" s="19">
        <f t="shared" si="20"/>
        <v>-1</v>
      </c>
      <c r="O88" s="11"/>
      <c r="P88" s="2"/>
      <c r="Q88" s="2"/>
      <c r="R88" s="19">
        <f t="shared" si="21"/>
        <v>0</v>
      </c>
      <c r="S88" s="2"/>
      <c r="T88" s="2">
        <v>522.34</v>
      </c>
      <c r="U88" s="2"/>
      <c r="V88" s="19">
        <f t="shared" si="22"/>
        <v>1.3471264981208383E-4</v>
      </c>
      <c r="W88" s="2"/>
      <c r="X88" s="2">
        <f t="shared" si="23"/>
        <v>-522.34</v>
      </c>
      <c r="Y88" s="2"/>
      <c r="Z88" s="19">
        <f t="shared" si="24"/>
        <v>-1</v>
      </c>
    </row>
    <row r="89" spans="1:26" s="24" customFormat="1" hidden="1" outlineLevel="1" x14ac:dyDescent="0.3">
      <c r="A89" s="44"/>
      <c r="B89" s="11" t="str">
        <f>CONCATENATE("          ", "5025", " - ", "PURCHASES @ COST-TEST FORMS")</f>
        <v xml:space="preserve">          5025 - PURCHASES @ COST-TEST FORMS</v>
      </c>
      <c r="C89" s="11"/>
      <c r="D89" s="2"/>
      <c r="E89" s="2"/>
      <c r="F89" s="19">
        <f t="shared" si="17"/>
        <v>0</v>
      </c>
      <c r="G89" s="2"/>
      <c r="H89" s="2"/>
      <c r="I89" s="2"/>
      <c r="J89" s="19">
        <f t="shared" si="18"/>
        <v>0</v>
      </c>
      <c r="K89" s="2"/>
      <c r="L89" s="2">
        <f t="shared" si="19"/>
        <v>0</v>
      </c>
      <c r="M89" s="2"/>
      <c r="N89" s="19">
        <f t="shared" si="20"/>
        <v>0</v>
      </c>
      <c r="O89" s="11"/>
      <c r="P89" s="2"/>
      <c r="Q89" s="2"/>
      <c r="R89" s="19">
        <f t="shared" si="21"/>
        <v>0</v>
      </c>
      <c r="S89" s="2"/>
      <c r="T89" s="2">
        <v>599.29</v>
      </c>
      <c r="U89" s="2"/>
      <c r="V89" s="19">
        <f t="shared" si="22"/>
        <v>1.5455822626236494E-4</v>
      </c>
      <c r="W89" s="2"/>
      <c r="X89" s="2">
        <f t="shared" si="23"/>
        <v>-599.29</v>
      </c>
      <c r="Y89" s="2"/>
      <c r="Z89" s="19">
        <f t="shared" si="24"/>
        <v>-1</v>
      </c>
    </row>
    <row r="90" spans="1:26" s="24" customFormat="1" hidden="1" outlineLevel="1" x14ac:dyDescent="0.3">
      <c r="A90" s="44"/>
      <c r="B90" s="11" t="str">
        <f>CONCATENATE("          ", "5026", " - ", "PURCHASES @ COST-WRITING INSTR")</f>
        <v xml:space="preserve">          5026 - PURCHASES @ COST-WRITING INSTR</v>
      </c>
      <c r="C90" s="11"/>
      <c r="D90" s="2"/>
      <c r="E90" s="2"/>
      <c r="F90" s="19">
        <f t="shared" si="17"/>
        <v>0</v>
      </c>
      <c r="G90" s="2"/>
      <c r="H90" s="2"/>
      <c r="I90" s="2"/>
      <c r="J90" s="19">
        <f t="shared" si="18"/>
        <v>0</v>
      </c>
      <c r="K90" s="2"/>
      <c r="L90" s="2">
        <f t="shared" si="19"/>
        <v>0</v>
      </c>
      <c r="M90" s="2"/>
      <c r="N90" s="19">
        <f t="shared" si="20"/>
        <v>0</v>
      </c>
      <c r="O90" s="11"/>
      <c r="P90" s="2">
        <v>0</v>
      </c>
      <c r="Q90" s="2"/>
      <c r="R90" s="19">
        <f t="shared" si="21"/>
        <v>0</v>
      </c>
      <c r="S90" s="2"/>
      <c r="T90" s="2">
        <v>374.91</v>
      </c>
      <c r="U90" s="2"/>
      <c r="V90" s="19">
        <f t="shared" si="22"/>
        <v>9.6690124327159215E-5</v>
      </c>
      <c r="W90" s="2"/>
      <c r="X90" s="2">
        <f t="shared" si="23"/>
        <v>-374.91</v>
      </c>
      <c r="Y90" s="2"/>
      <c r="Z90" s="19">
        <f t="shared" si="24"/>
        <v>-1</v>
      </c>
    </row>
    <row r="91" spans="1:26" s="24" customFormat="1" hidden="1" outlineLevel="1" x14ac:dyDescent="0.3">
      <c r="A91" s="44"/>
      <c r="B91" s="11" t="str">
        <f>CONCATENATE("          ", "5027", " - ", "PURCHASES @ COST-SCHOOL SUPPLI")</f>
        <v xml:space="preserve">          5027 - PURCHASES @ COST-SCHOOL SUPPLI</v>
      </c>
      <c r="C91" s="11"/>
      <c r="D91" s="2"/>
      <c r="E91" s="2"/>
      <c r="F91" s="19">
        <f t="shared" si="17"/>
        <v>0</v>
      </c>
      <c r="G91" s="2"/>
      <c r="H91" s="2"/>
      <c r="I91" s="2"/>
      <c r="J91" s="19">
        <f t="shared" si="18"/>
        <v>0</v>
      </c>
      <c r="K91" s="2"/>
      <c r="L91" s="2">
        <f t="shared" si="19"/>
        <v>0</v>
      </c>
      <c r="M91" s="2"/>
      <c r="N91" s="19">
        <f t="shared" si="20"/>
        <v>0</v>
      </c>
      <c r="O91" s="11"/>
      <c r="P91" s="2">
        <v>0</v>
      </c>
      <c r="Q91" s="2"/>
      <c r="R91" s="19">
        <f t="shared" si="21"/>
        <v>0</v>
      </c>
      <c r="S91" s="2"/>
      <c r="T91" s="2">
        <v>19071.349999999999</v>
      </c>
      <c r="U91" s="2"/>
      <c r="V91" s="19">
        <f t="shared" si="22"/>
        <v>4.918543657375817E-3</v>
      </c>
      <c r="W91" s="2"/>
      <c r="X91" s="2">
        <f t="shared" si="23"/>
        <v>-19071.349999999999</v>
      </c>
      <c r="Y91" s="2"/>
      <c r="Z91" s="19">
        <f t="shared" si="24"/>
        <v>-1</v>
      </c>
    </row>
    <row r="92" spans="1:26" s="24" customFormat="1" hidden="1" outlineLevel="1" x14ac:dyDescent="0.3">
      <c r="A92" s="44"/>
      <c r="B92" s="11" t="str">
        <f>CONCATENATE("          ", "5028", " - ", "PURCHASES @ COST-ART/TECH")</f>
        <v xml:space="preserve">          5028 - PURCHASES @ COST-ART/TECH</v>
      </c>
      <c r="C92" s="11"/>
      <c r="D92" s="2"/>
      <c r="E92" s="2"/>
      <c r="F92" s="19">
        <f t="shared" si="17"/>
        <v>0</v>
      </c>
      <c r="G92" s="2"/>
      <c r="H92" s="2"/>
      <c r="I92" s="2"/>
      <c r="J92" s="19">
        <f t="shared" si="18"/>
        <v>0</v>
      </c>
      <c r="K92" s="2"/>
      <c r="L92" s="2">
        <f t="shared" si="19"/>
        <v>0</v>
      </c>
      <c r="M92" s="2"/>
      <c r="N92" s="19">
        <f t="shared" si="20"/>
        <v>0</v>
      </c>
      <c r="O92" s="11"/>
      <c r="P92" s="2">
        <v>0</v>
      </c>
      <c r="Q92" s="2"/>
      <c r="R92" s="19">
        <f t="shared" si="21"/>
        <v>0</v>
      </c>
      <c r="S92" s="2"/>
      <c r="T92" s="2">
        <v>41358.449999999997</v>
      </c>
      <c r="U92" s="2"/>
      <c r="V92" s="19">
        <f t="shared" si="22"/>
        <v>1.066643640468005E-2</v>
      </c>
      <c r="W92" s="2"/>
      <c r="X92" s="2">
        <f t="shared" si="23"/>
        <v>-41358.449999999997</v>
      </c>
      <c r="Y92" s="2"/>
      <c r="Z92" s="19">
        <f t="shared" si="24"/>
        <v>-1</v>
      </c>
    </row>
    <row r="93" spans="1:26" s="24" customFormat="1" hidden="1" outlineLevel="1" x14ac:dyDescent="0.3">
      <c r="A93" s="44"/>
      <c r="B93" s="11" t="str">
        <f>CONCATENATE("          ", "5031", " - ", "PURCHASES @ COST-FOOD")</f>
        <v xml:space="preserve">          5031 - PURCHASES @ COST-FOOD</v>
      </c>
      <c r="C93" s="11"/>
      <c r="D93" s="2"/>
      <c r="E93" s="2"/>
      <c r="F93" s="19">
        <f t="shared" si="17"/>
        <v>0</v>
      </c>
      <c r="G93" s="2"/>
      <c r="H93" s="2">
        <v>239.16</v>
      </c>
      <c r="I93" s="2"/>
      <c r="J93" s="19">
        <f t="shared" si="18"/>
        <v>2.0288020499892719E-4</v>
      </c>
      <c r="K93" s="2"/>
      <c r="L93" s="2">
        <f t="shared" si="19"/>
        <v>-239.16</v>
      </c>
      <c r="M93" s="2"/>
      <c r="N93" s="19">
        <f t="shared" si="20"/>
        <v>-1</v>
      </c>
      <c r="O93" s="11"/>
      <c r="P93" s="2">
        <v>0</v>
      </c>
      <c r="Q93" s="2"/>
      <c r="R93" s="19">
        <f t="shared" si="21"/>
        <v>0</v>
      </c>
      <c r="S93" s="2"/>
      <c r="T93" s="2">
        <v>7514.26</v>
      </c>
      <c r="U93" s="2"/>
      <c r="V93" s="19">
        <f t="shared" si="22"/>
        <v>1.9379443963260499E-3</v>
      </c>
      <c r="W93" s="2"/>
      <c r="X93" s="2">
        <f t="shared" si="23"/>
        <v>-7514.26</v>
      </c>
      <c r="Y93" s="2"/>
      <c r="Z93" s="19">
        <f t="shared" si="24"/>
        <v>-1</v>
      </c>
    </row>
    <row r="94" spans="1:26" s="24" customFormat="1" hidden="1" outlineLevel="1" x14ac:dyDescent="0.3">
      <c r="A94" s="44"/>
      <c r="B94" s="11" t="str">
        <f>CONCATENATE("          ", "5040", " - ", "PURCHASES @ COST-LOGO CLOTHING")</f>
        <v xml:space="preserve">          5040 - PURCHASES @ COST-LOGO CLOTHING</v>
      </c>
      <c r="C94" s="11"/>
      <c r="D94" s="2"/>
      <c r="E94" s="2"/>
      <c r="F94" s="19">
        <f t="shared" si="17"/>
        <v>0</v>
      </c>
      <c r="G94" s="2"/>
      <c r="H94" s="2">
        <v>34900.79</v>
      </c>
      <c r="I94" s="2"/>
      <c r="J94" s="19">
        <f t="shared" si="18"/>
        <v>2.9606453545009653E-2</v>
      </c>
      <c r="K94" s="2"/>
      <c r="L94" s="2">
        <f t="shared" si="19"/>
        <v>-34900.79</v>
      </c>
      <c r="M94" s="2"/>
      <c r="N94" s="19">
        <f t="shared" si="20"/>
        <v>-1</v>
      </c>
      <c r="O94" s="11"/>
      <c r="P94" s="2">
        <v>0</v>
      </c>
      <c r="Q94" s="2"/>
      <c r="R94" s="19">
        <f t="shared" si="21"/>
        <v>0</v>
      </c>
      <c r="S94" s="2"/>
      <c r="T94" s="2">
        <v>167371.19</v>
      </c>
      <c r="U94" s="2"/>
      <c r="V94" s="19">
        <f t="shared" si="22"/>
        <v>4.3165402816368159E-2</v>
      </c>
      <c r="W94" s="2"/>
      <c r="X94" s="2">
        <f t="shared" si="23"/>
        <v>-167371.19</v>
      </c>
      <c r="Y94" s="2"/>
      <c r="Z94" s="19">
        <f t="shared" si="24"/>
        <v>-1</v>
      </c>
    </row>
    <row r="95" spans="1:26" s="24" customFormat="1" hidden="1" outlineLevel="1" x14ac:dyDescent="0.3">
      <c r="A95" s="44"/>
      <c r="B95" s="11" t="str">
        <f>CONCATENATE("          ", "5041", " - ", "PURCHASES @ COST-LOGO GIFTS")</f>
        <v xml:space="preserve">          5041 - PURCHASES @ COST-LOGO GIFTS</v>
      </c>
      <c r="C95" s="11"/>
      <c r="D95" s="2"/>
      <c r="E95" s="2"/>
      <c r="F95" s="19">
        <f t="shared" si="17"/>
        <v>0</v>
      </c>
      <c r="G95" s="2"/>
      <c r="H95" s="2">
        <v>8769.24</v>
      </c>
      <c r="I95" s="2"/>
      <c r="J95" s="19">
        <f t="shared" si="18"/>
        <v>7.4389747820906181E-3</v>
      </c>
      <c r="K95" s="2"/>
      <c r="L95" s="2">
        <f t="shared" si="19"/>
        <v>-8769.24</v>
      </c>
      <c r="M95" s="2"/>
      <c r="N95" s="19">
        <f t="shared" si="20"/>
        <v>-1</v>
      </c>
      <c r="O95" s="11"/>
      <c r="P95" s="2">
        <v>0</v>
      </c>
      <c r="Q95" s="2"/>
      <c r="R95" s="19">
        <f t="shared" si="21"/>
        <v>0</v>
      </c>
      <c r="S95" s="2"/>
      <c r="T95" s="2">
        <v>40971</v>
      </c>
      <c r="U95" s="2"/>
      <c r="V95" s="19">
        <f t="shared" si="22"/>
        <v>1.0566512186412845E-2</v>
      </c>
      <c r="W95" s="2"/>
      <c r="X95" s="2">
        <f t="shared" si="23"/>
        <v>-40971</v>
      </c>
      <c r="Y95" s="2"/>
      <c r="Z95" s="19">
        <f t="shared" si="24"/>
        <v>-1</v>
      </c>
    </row>
    <row r="96" spans="1:26" s="24" customFormat="1" hidden="1" outlineLevel="1" x14ac:dyDescent="0.3">
      <c r="A96" s="44"/>
      <c r="B96" s="11" t="str">
        <f>CONCATENATE("          ", "5042", " - ", "PURCHASES @ COST-EVERYDAY GIFT")</f>
        <v xml:space="preserve">          5042 - PURCHASES @ COST-EVERYDAY GIFT</v>
      </c>
      <c r="C96" s="11"/>
      <c r="D96" s="2"/>
      <c r="E96" s="2"/>
      <c r="F96" s="19">
        <f t="shared" si="17"/>
        <v>0</v>
      </c>
      <c r="G96" s="2"/>
      <c r="H96" s="2">
        <v>6760.7</v>
      </c>
      <c r="I96" s="2"/>
      <c r="J96" s="19">
        <f t="shared" si="18"/>
        <v>5.7351237746121721E-3</v>
      </c>
      <c r="K96" s="2"/>
      <c r="L96" s="2">
        <f t="shared" si="19"/>
        <v>-6760.7</v>
      </c>
      <c r="M96" s="2"/>
      <c r="N96" s="19">
        <f t="shared" si="20"/>
        <v>-1</v>
      </c>
      <c r="O96" s="11"/>
      <c r="P96" s="2">
        <v>0</v>
      </c>
      <c r="Q96" s="2"/>
      <c r="R96" s="19">
        <f t="shared" si="21"/>
        <v>0</v>
      </c>
      <c r="S96" s="2"/>
      <c r="T96" s="2">
        <v>17821.98</v>
      </c>
      <c r="U96" s="2"/>
      <c r="V96" s="19">
        <f t="shared" si="22"/>
        <v>4.5963283506872182E-3</v>
      </c>
      <c r="W96" s="2"/>
      <c r="X96" s="2">
        <f t="shared" si="23"/>
        <v>-17821.98</v>
      </c>
      <c r="Y96" s="2"/>
      <c r="Z96" s="19">
        <f t="shared" si="24"/>
        <v>-1</v>
      </c>
    </row>
    <row r="97" spans="1:26" s="24" customFormat="1" hidden="1" outlineLevel="1" x14ac:dyDescent="0.3">
      <c r="A97" s="44"/>
      <c r="B97" s="11" t="str">
        <f>CONCATENATE("          ", "5043", " - ", "PURCHASES @ COST-CARDS")</f>
        <v xml:space="preserve">          5043 - PURCHASES @ COST-CARDS</v>
      </c>
      <c r="C97" s="11"/>
      <c r="D97" s="2"/>
      <c r="E97" s="2"/>
      <c r="F97" s="19">
        <f t="shared" si="17"/>
        <v>0</v>
      </c>
      <c r="G97" s="2"/>
      <c r="H97" s="2">
        <v>8743.1</v>
      </c>
      <c r="I97" s="2"/>
      <c r="J97" s="19">
        <f t="shared" si="18"/>
        <v>7.4168001351652465E-3</v>
      </c>
      <c r="K97" s="2"/>
      <c r="L97" s="2">
        <f t="shared" si="19"/>
        <v>-8743.1</v>
      </c>
      <c r="M97" s="2"/>
      <c r="N97" s="19">
        <f t="shared" si="20"/>
        <v>-1</v>
      </c>
      <c r="O97" s="11"/>
      <c r="P97" s="2">
        <v>0</v>
      </c>
      <c r="Q97" s="2"/>
      <c r="R97" s="19">
        <f t="shared" si="21"/>
        <v>0</v>
      </c>
      <c r="S97" s="2"/>
      <c r="T97" s="2">
        <v>55364.33</v>
      </c>
      <c r="U97" s="2"/>
      <c r="V97" s="19">
        <f t="shared" si="22"/>
        <v>1.427858406281473E-2</v>
      </c>
      <c r="W97" s="2"/>
      <c r="X97" s="2">
        <f t="shared" si="23"/>
        <v>-55364.33</v>
      </c>
      <c r="Y97" s="2"/>
      <c r="Z97" s="19">
        <f t="shared" si="24"/>
        <v>-1</v>
      </c>
    </row>
    <row r="98" spans="1:26" s="24" customFormat="1" hidden="1" outlineLevel="1" x14ac:dyDescent="0.3">
      <c r="A98" s="44"/>
      <c r="B98" s="11" t="str">
        <f>CONCATENATE("          ", "5044", " - ", "PURCHASES @ COST-ACCESSORIES")</f>
        <v xml:space="preserve">          5044 - PURCHASES @ COST-ACCESSORIES</v>
      </c>
      <c r="C98" s="11"/>
      <c r="D98" s="2"/>
      <c r="E98" s="2"/>
      <c r="F98" s="19">
        <f t="shared" si="17"/>
        <v>0</v>
      </c>
      <c r="G98" s="2"/>
      <c r="H98" s="2">
        <v>782.5</v>
      </c>
      <c r="I98" s="2"/>
      <c r="J98" s="19">
        <f t="shared" si="18"/>
        <v>6.6379729223808555E-4</v>
      </c>
      <c r="K98" s="2"/>
      <c r="L98" s="2">
        <f t="shared" si="19"/>
        <v>-782.5</v>
      </c>
      <c r="M98" s="2"/>
      <c r="N98" s="19">
        <f t="shared" si="20"/>
        <v>-1</v>
      </c>
      <c r="O98" s="11"/>
      <c r="P98" s="2">
        <v>0</v>
      </c>
      <c r="Q98" s="2"/>
      <c r="R98" s="19">
        <f t="shared" si="21"/>
        <v>0</v>
      </c>
      <c r="S98" s="2"/>
      <c r="T98" s="2">
        <v>1064.83</v>
      </c>
      <c r="U98" s="2"/>
      <c r="V98" s="19">
        <f t="shared" si="22"/>
        <v>2.7462202951985523E-4</v>
      </c>
      <c r="W98" s="2"/>
      <c r="X98" s="2">
        <f t="shared" si="23"/>
        <v>-1064.83</v>
      </c>
      <c r="Y98" s="2"/>
      <c r="Z98" s="19">
        <f t="shared" si="24"/>
        <v>-1</v>
      </c>
    </row>
    <row r="99" spans="1:26" s="24" customFormat="1" hidden="1" outlineLevel="1" x14ac:dyDescent="0.3">
      <c r="A99" s="44"/>
      <c r="B99" s="11" t="str">
        <f>CONCATENATE("          ", "5045", " - ", "PURCHASES @ COST-SPECIAL ORDER")</f>
        <v xml:space="preserve">          5045 - PURCHASES @ COST-SPECIAL ORDER</v>
      </c>
      <c r="C99" s="11"/>
      <c r="D99" s="2"/>
      <c r="E99" s="2"/>
      <c r="F99" s="19">
        <f t="shared" si="17"/>
        <v>0</v>
      </c>
      <c r="G99" s="2"/>
      <c r="H99" s="2">
        <v>5855.38</v>
      </c>
      <c r="I99" s="2"/>
      <c r="J99" s="19">
        <f t="shared" si="18"/>
        <v>4.9671378773482955E-3</v>
      </c>
      <c r="K99" s="2"/>
      <c r="L99" s="2">
        <f t="shared" si="19"/>
        <v>-5855.38</v>
      </c>
      <c r="M99" s="2"/>
      <c r="N99" s="19">
        <f t="shared" si="20"/>
        <v>-1</v>
      </c>
      <c r="O99" s="11"/>
      <c r="P99" s="2">
        <v>0</v>
      </c>
      <c r="Q99" s="2"/>
      <c r="R99" s="19">
        <f t="shared" si="21"/>
        <v>0</v>
      </c>
      <c r="S99" s="2"/>
      <c r="T99" s="2">
        <v>93464.38</v>
      </c>
      <c r="U99" s="2"/>
      <c r="V99" s="19">
        <f t="shared" si="22"/>
        <v>2.4104671847539016E-2</v>
      </c>
      <c r="W99" s="2"/>
      <c r="X99" s="2">
        <f t="shared" si="23"/>
        <v>-93464.38</v>
      </c>
      <c r="Y99" s="2"/>
      <c r="Z99" s="19">
        <f t="shared" si="24"/>
        <v>-1</v>
      </c>
    </row>
    <row r="100" spans="1:26" s="24" customFormat="1" hidden="1" outlineLevel="1" x14ac:dyDescent="0.3">
      <c r="A100" s="44"/>
      <c r="B100" s="11" t="str">
        <f>CONCATENATE("          ", "5092", " - ", "PURCHASES @ COST-GRAD MERCH")</f>
        <v xml:space="preserve">          5092 - PURCHASES @ COST-GRAD MERCH</v>
      </c>
      <c r="C100" s="11"/>
      <c r="D100" s="2"/>
      <c r="E100" s="2"/>
      <c r="F100" s="19">
        <f t="shared" si="17"/>
        <v>0</v>
      </c>
      <c r="G100" s="2"/>
      <c r="H100" s="2"/>
      <c r="I100" s="2"/>
      <c r="J100" s="19">
        <f t="shared" si="18"/>
        <v>0</v>
      </c>
      <c r="K100" s="2"/>
      <c r="L100" s="2">
        <f t="shared" si="19"/>
        <v>0</v>
      </c>
      <c r="M100" s="2"/>
      <c r="N100" s="19">
        <f t="shared" si="20"/>
        <v>0</v>
      </c>
      <c r="O100" s="11"/>
      <c r="P100" s="2"/>
      <c r="Q100" s="2"/>
      <c r="R100" s="19">
        <f t="shared" si="21"/>
        <v>0</v>
      </c>
      <c r="S100" s="2"/>
      <c r="T100" s="2">
        <v>0</v>
      </c>
      <c r="U100" s="2"/>
      <c r="V100" s="19">
        <f t="shared" si="22"/>
        <v>0</v>
      </c>
      <c r="W100" s="2"/>
      <c r="X100" s="2">
        <f t="shared" si="23"/>
        <v>0</v>
      </c>
      <c r="Y100" s="2"/>
      <c r="Z100" s="19">
        <f t="shared" si="24"/>
        <v>0</v>
      </c>
    </row>
    <row r="101" spans="1:26" s="24" customFormat="1" hidden="1" outlineLevel="1" x14ac:dyDescent="0.3">
      <c r="A101" s="44"/>
      <c r="B101" s="11" t="str">
        <f>CONCATENATE("          ", "5200", " - ", "PURCHASES OFFSET")</f>
        <v xml:space="preserve">          5200 - PURCHASES OFFSET</v>
      </c>
      <c r="C101" s="11"/>
      <c r="D101" s="2">
        <v>-472988.62</v>
      </c>
      <c r="E101" s="2"/>
      <c r="F101" s="19">
        <f t="shared" si="17"/>
        <v>-0.62601548143092156</v>
      </c>
      <c r="G101" s="2"/>
      <c r="H101" s="2">
        <v>-390760.97</v>
      </c>
      <c r="I101" s="2"/>
      <c r="J101" s="19">
        <f t="shared" si="18"/>
        <v>-0.33148380038124953</v>
      </c>
      <c r="K101" s="2"/>
      <c r="L101" s="2">
        <f t="shared" si="19"/>
        <v>-82227.650000000023</v>
      </c>
      <c r="M101" s="2"/>
      <c r="N101" s="19">
        <f t="shared" si="20"/>
        <v>0.21042953701338193</v>
      </c>
      <c r="O101" s="11"/>
      <c r="P101" s="2">
        <v>-2823984.16</v>
      </c>
      <c r="Q101" s="2"/>
      <c r="R101" s="19">
        <f t="shared" si="21"/>
        <v>-0.63939004673048228</v>
      </c>
      <c r="S101" s="2"/>
      <c r="T101" s="2">
        <v>-2135783.4</v>
      </c>
      <c r="U101" s="2"/>
      <c r="V101" s="19">
        <f t="shared" si="22"/>
        <v>-0.55082329754309778</v>
      </c>
      <c r="W101" s="2"/>
      <c r="X101" s="2">
        <f t="shared" si="23"/>
        <v>-688200.76000000024</v>
      </c>
      <c r="Y101" s="2"/>
      <c r="Z101" s="19">
        <f t="shared" si="24"/>
        <v>0.32222404200725613</v>
      </c>
    </row>
    <row r="102" spans="1:26" s="24" customFormat="1" hidden="1" outlineLevel="1" x14ac:dyDescent="0.3">
      <c r="A102" s="44"/>
      <c r="B102" s="11" t="str">
        <f>CONCATENATE("          ", "5300", " - ", "COG$ OFFSET")</f>
        <v xml:space="preserve">          5300 - COG$ OFFSET</v>
      </c>
      <c r="C102" s="11"/>
      <c r="D102" s="2">
        <v>414305.51</v>
      </c>
      <c r="E102" s="2"/>
      <c r="F102" s="19">
        <f t="shared" si="17"/>
        <v>0.54834651899687037</v>
      </c>
      <c r="G102" s="2"/>
      <c r="H102" s="2">
        <v>584457</v>
      </c>
      <c r="I102" s="2"/>
      <c r="J102" s="19">
        <f t="shared" si="18"/>
        <v>0.4957967719228048</v>
      </c>
      <c r="K102" s="2"/>
      <c r="L102" s="2">
        <f t="shared" si="19"/>
        <v>-170151.49</v>
      </c>
      <c r="M102" s="2"/>
      <c r="N102" s="19">
        <f t="shared" si="20"/>
        <v>-0.29112747387746229</v>
      </c>
      <c r="O102" s="11"/>
      <c r="P102" s="2">
        <v>2375016.67</v>
      </c>
      <c r="Q102" s="2"/>
      <c r="R102" s="19">
        <f t="shared" si="21"/>
        <v>0.53773744241432797</v>
      </c>
      <c r="S102" s="2"/>
      <c r="T102" s="2">
        <v>1975590</v>
      </c>
      <c r="U102" s="2"/>
      <c r="V102" s="19">
        <f t="shared" si="22"/>
        <v>0.50950906276037566</v>
      </c>
      <c r="W102" s="2"/>
      <c r="X102" s="2">
        <f t="shared" si="23"/>
        <v>399426.66999999993</v>
      </c>
      <c r="Y102" s="2"/>
      <c r="Z102" s="19">
        <f t="shared" si="24"/>
        <v>0.20218095353793039</v>
      </c>
    </row>
    <row r="103" spans="1:26" s="24" customFormat="1" hidden="1" outlineLevel="1" x14ac:dyDescent="0.3">
      <c r="A103" s="44"/>
      <c r="B103" s="11" t="str">
        <f>CONCATENATE("          ", "5500", " - ", "FREIGHT-IN")</f>
        <v xml:space="preserve">          5500 - FREIGHT-IN</v>
      </c>
      <c r="C103" s="11"/>
      <c r="D103" s="2">
        <v>21903.56</v>
      </c>
      <c r="E103" s="2"/>
      <c r="F103" s="19">
        <f t="shared" si="17"/>
        <v>2.8990058277620034E-2</v>
      </c>
      <c r="G103" s="2"/>
      <c r="H103" s="2">
        <v>0</v>
      </c>
      <c r="I103" s="2"/>
      <c r="J103" s="19">
        <f t="shared" si="18"/>
        <v>0</v>
      </c>
      <c r="K103" s="2"/>
      <c r="L103" s="2">
        <f t="shared" si="19"/>
        <v>21903.56</v>
      </c>
      <c r="M103" s="2"/>
      <c r="N103" s="19">
        <f t="shared" si="20"/>
        <v>0</v>
      </c>
      <c r="O103" s="11"/>
      <c r="P103" s="2">
        <v>92185.86</v>
      </c>
      <c r="Q103" s="2"/>
      <c r="R103" s="19">
        <f t="shared" si="21"/>
        <v>2.087218553424524E-2</v>
      </c>
      <c r="S103" s="2"/>
      <c r="T103" s="2">
        <v>0</v>
      </c>
      <c r="U103" s="2"/>
      <c r="V103" s="19">
        <f t="shared" si="22"/>
        <v>0</v>
      </c>
      <c r="W103" s="2"/>
      <c r="X103" s="2">
        <f t="shared" si="23"/>
        <v>92185.86</v>
      </c>
      <c r="Y103" s="2"/>
      <c r="Z103" s="19">
        <f t="shared" si="24"/>
        <v>0</v>
      </c>
    </row>
    <row r="104" spans="1:26" s="24" customFormat="1" hidden="1" outlineLevel="1" x14ac:dyDescent="0.3">
      <c r="A104" s="44"/>
      <c r="B104" s="11" t="str">
        <f>CONCATENATE("          ", "5501", " - ", "FREIGHT-IN-NEW TEXT")</f>
        <v xml:space="preserve">          5501 - FREIGHT-IN-NEW TEXT</v>
      </c>
      <c r="C104" s="11"/>
      <c r="D104" s="2"/>
      <c r="E104" s="2"/>
      <c r="F104" s="19">
        <f t="shared" si="17"/>
        <v>0</v>
      </c>
      <c r="G104" s="2"/>
      <c r="H104" s="2">
        <v>7155.21</v>
      </c>
      <c r="I104" s="2"/>
      <c r="J104" s="19">
        <f t="shared" si="18"/>
        <v>6.0697878893225202E-3</v>
      </c>
      <c r="K104" s="2"/>
      <c r="L104" s="2">
        <f t="shared" si="19"/>
        <v>-7155.21</v>
      </c>
      <c r="M104" s="2"/>
      <c r="N104" s="19">
        <f t="shared" si="20"/>
        <v>-1</v>
      </c>
      <c r="O104" s="11"/>
      <c r="P104" s="2">
        <v>0</v>
      </c>
      <c r="Q104" s="2"/>
      <c r="R104" s="19">
        <f t="shared" si="21"/>
        <v>0</v>
      </c>
      <c r="S104" s="2"/>
      <c r="T104" s="2">
        <v>44618.79</v>
      </c>
      <c r="U104" s="2"/>
      <c r="V104" s="19">
        <f t="shared" si="22"/>
        <v>1.1507285354958279E-2</v>
      </c>
      <c r="W104" s="2"/>
      <c r="X104" s="2">
        <f t="shared" si="23"/>
        <v>-44618.79</v>
      </c>
      <c r="Y104" s="2"/>
      <c r="Z104" s="19">
        <f t="shared" si="24"/>
        <v>-1</v>
      </c>
    </row>
    <row r="105" spans="1:26" s="24" customFormat="1" hidden="1" outlineLevel="1" x14ac:dyDescent="0.3">
      <c r="A105" s="44"/>
      <c r="B105" s="11" t="str">
        <f>CONCATENATE("          ", "5502", " - ", "FREIGHT-IN-USED TEXT")</f>
        <v xml:space="preserve">          5502 - FREIGHT-IN-USED TEXT</v>
      </c>
      <c r="C105" s="11"/>
      <c r="D105" s="2"/>
      <c r="E105" s="2"/>
      <c r="F105" s="19">
        <f t="shared" si="17"/>
        <v>0</v>
      </c>
      <c r="G105" s="2"/>
      <c r="H105" s="2">
        <v>2129.7399999999998</v>
      </c>
      <c r="I105" s="2"/>
      <c r="J105" s="19">
        <f t="shared" si="18"/>
        <v>1.8066653612410736E-3</v>
      </c>
      <c r="K105" s="2"/>
      <c r="L105" s="2">
        <f t="shared" si="19"/>
        <v>-2129.7399999999998</v>
      </c>
      <c r="M105" s="2"/>
      <c r="N105" s="19">
        <f t="shared" si="20"/>
        <v>-1</v>
      </c>
      <c r="O105" s="11"/>
      <c r="P105" s="2">
        <v>0</v>
      </c>
      <c r="Q105" s="2"/>
      <c r="R105" s="19">
        <f t="shared" si="21"/>
        <v>0</v>
      </c>
      <c r="S105" s="2"/>
      <c r="T105" s="2">
        <v>15652.31</v>
      </c>
      <c r="U105" s="2"/>
      <c r="V105" s="19">
        <f t="shared" si="22"/>
        <v>4.0367656235022736E-3</v>
      </c>
      <c r="W105" s="2"/>
      <c r="X105" s="2">
        <f t="shared" si="23"/>
        <v>-15652.31</v>
      </c>
      <c r="Y105" s="2"/>
      <c r="Z105" s="19">
        <f t="shared" si="24"/>
        <v>-1</v>
      </c>
    </row>
    <row r="106" spans="1:26" s="24" customFormat="1" hidden="1" outlineLevel="1" x14ac:dyDescent="0.3">
      <c r="A106" s="44"/>
      <c r="B106" s="11" t="str">
        <f>CONCATENATE("          ", "5504", " - ", "FREIGHT-IN-DIGITAL TEXT")</f>
        <v xml:space="preserve">          5504 - FREIGHT-IN-DIGITAL TEXT</v>
      </c>
      <c r="C106" s="11"/>
      <c r="D106" s="2"/>
      <c r="E106" s="2"/>
      <c r="F106" s="19">
        <f t="shared" si="17"/>
        <v>0</v>
      </c>
      <c r="G106" s="2"/>
      <c r="H106" s="2"/>
      <c r="I106" s="2"/>
      <c r="J106" s="19">
        <f t="shared" si="18"/>
        <v>0</v>
      </c>
      <c r="K106" s="2"/>
      <c r="L106" s="2">
        <f t="shared" si="19"/>
        <v>0</v>
      </c>
      <c r="M106" s="2"/>
      <c r="N106" s="19">
        <f t="shared" si="20"/>
        <v>0</v>
      </c>
      <c r="O106" s="11"/>
      <c r="P106" s="2"/>
      <c r="Q106" s="2"/>
      <c r="R106" s="19">
        <f t="shared" si="21"/>
        <v>0</v>
      </c>
      <c r="S106" s="2"/>
      <c r="T106" s="2">
        <v>21.98</v>
      </c>
      <c r="U106" s="2"/>
      <c r="V106" s="19">
        <f t="shared" si="22"/>
        <v>5.6686909730627599E-6</v>
      </c>
      <c r="W106" s="2"/>
      <c r="X106" s="2">
        <f t="shared" si="23"/>
        <v>-21.98</v>
      </c>
      <c r="Y106" s="2"/>
      <c r="Z106" s="19">
        <f t="shared" si="24"/>
        <v>-1</v>
      </c>
    </row>
    <row r="107" spans="1:26" s="24" customFormat="1" hidden="1" outlineLevel="1" x14ac:dyDescent="0.3">
      <c r="A107" s="44"/>
      <c r="B107" s="11" t="str">
        <f>CONCATENATE("          ", "5513", " - ", "FREIGHT-IN-TRADE BOOKS")</f>
        <v xml:space="preserve">          5513 - FREIGHT-IN-TRADE BOOKS</v>
      </c>
      <c r="C107" s="11"/>
      <c r="D107" s="2"/>
      <c r="E107" s="2"/>
      <c r="F107" s="19">
        <f t="shared" si="17"/>
        <v>0</v>
      </c>
      <c r="G107" s="2"/>
      <c r="H107" s="2">
        <v>7.06</v>
      </c>
      <c r="I107" s="2"/>
      <c r="J107" s="19">
        <f t="shared" si="18"/>
        <v>5.9890209369979339E-6</v>
      </c>
      <c r="K107" s="2"/>
      <c r="L107" s="2">
        <f t="shared" si="19"/>
        <v>-7.06</v>
      </c>
      <c r="M107" s="2"/>
      <c r="N107" s="19">
        <f t="shared" si="20"/>
        <v>-1</v>
      </c>
      <c r="O107" s="11"/>
      <c r="P107" s="2"/>
      <c r="Q107" s="2"/>
      <c r="R107" s="19">
        <f t="shared" si="21"/>
        <v>0</v>
      </c>
      <c r="S107" s="2"/>
      <c r="T107" s="2">
        <v>33.520000000000003</v>
      </c>
      <c r="U107" s="2"/>
      <c r="V107" s="19">
        <f t="shared" si="22"/>
        <v>8.6448826850347468E-6</v>
      </c>
      <c r="W107" s="2"/>
      <c r="X107" s="2">
        <f t="shared" si="23"/>
        <v>-33.520000000000003</v>
      </c>
      <c r="Y107" s="2"/>
      <c r="Z107" s="19">
        <f t="shared" si="24"/>
        <v>-1</v>
      </c>
    </row>
    <row r="108" spans="1:26" s="24" customFormat="1" hidden="1" outlineLevel="1" x14ac:dyDescent="0.3">
      <c r="A108" s="44"/>
      <c r="B108" s="11" t="str">
        <f>CONCATENATE("          ", "5518", " - ", "FREIGHT-IN-STUDY GUIDES")</f>
        <v xml:space="preserve">          5518 - FREIGHT-IN-STUDY GUIDES</v>
      </c>
      <c r="C108" s="11"/>
      <c r="D108" s="2"/>
      <c r="E108" s="2"/>
      <c r="F108" s="19">
        <f t="shared" si="17"/>
        <v>0</v>
      </c>
      <c r="G108" s="2"/>
      <c r="H108" s="2"/>
      <c r="I108" s="2"/>
      <c r="J108" s="19">
        <f t="shared" si="18"/>
        <v>0</v>
      </c>
      <c r="K108" s="2"/>
      <c r="L108" s="2">
        <f t="shared" si="19"/>
        <v>0</v>
      </c>
      <c r="M108" s="2"/>
      <c r="N108" s="19">
        <f t="shared" si="20"/>
        <v>0</v>
      </c>
      <c r="O108" s="11"/>
      <c r="P108" s="2">
        <v>0</v>
      </c>
      <c r="Q108" s="2"/>
      <c r="R108" s="19">
        <f t="shared" si="21"/>
        <v>0</v>
      </c>
      <c r="S108" s="2"/>
      <c r="T108" s="2"/>
      <c r="U108" s="2"/>
      <c r="V108" s="19">
        <f t="shared" si="22"/>
        <v>0</v>
      </c>
      <c r="W108" s="2"/>
      <c r="X108" s="2">
        <f t="shared" si="23"/>
        <v>0</v>
      </c>
      <c r="Y108" s="2"/>
      <c r="Z108" s="19">
        <f t="shared" si="24"/>
        <v>0</v>
      </c>
    </row>
    <row r="109" spans="1:26" s="24" customFormat="1" hidden="1" outlineLevel="1" x14ac:dyDescent="0.3">
      <c r="A109" s="44"/>
      <c r="B109" s="11" t="str">
        <f>CONCATENATE("          ", "5525", " - ", "FREIGHT-IN-TEST FORMS")</f>
        <v xml:space="preserve">          5525 - FREIGHT-IN-TEST FORMS</v>
      </c>
      <c r="C109" s="11"/>
      <c r="D109" s="2"/>
      <c r="E109" s="2"/>
      <c r="F109" s="19">
        <f t="shared" si="17"/>
        <v>0</v>
      </c>
      <c r="G109" s="2"/>
      <c r="H109" s="2"/>
      <c r="I109" s="2"/>
      <c r="J109" s="19">
        <f t="shared" si="18"/>
        <v>0</v>
      </c>
      <c r="K109" s="2"/>
      <c r="L109" s="2">
        <f t="shared" si="19"/>
        <v>0</v>
      </c>
      <c r="M109" s="2"/>
      <c r="N109" s="19">
        <f t="shared" si="20"/>
        <v>0</v>
      </c>
      <c r="O109" s="11"/>
      <c r="P109" s="2"/>
      <c r="Q109" s="2"/>
      <c r="R109" s="19">
        <f t="shared" si="21"/>
        <v>0</v>
      </c>
      <c r="S109" s="2"/>
      <c r="T109" s="2">
        <v>48.14</v>
      </c>
      <c r="U109" s="2"/>
      <c r="V109" s="19">
        <f t="shared" si="22"/>
        <v>1.2415413259474126E-5</v>
      </c>
      <c r="W109" s="2"/>
      <c r="X109" s="2">
        <f t="shared" si="23"/>
        <v>-48.14</v>
      </c>
      <c r="Y109" s="2"/>
      <c r="Z109" s="19">
        <f t="shared" si="24"/>
        <v>-1</v>
      </c>
    </row>
    <row r="110" spans="1:26" s="24" customFormat="1" hidden="1" outlineLevel="1" x14ac:dyDescent="0.3">
      <c r="A110" s="44"/>
      <c r="B110" s="11" t="str">
        <f>CONCATENATE("          ", "5526", " - ", "FREIGHT-IN-WRITING INSTRUMENTS")</f>
        <v xml:space="preserve">          5526 - FREIGHT-IN-WRITING INSTRUMENTS</v>
      </c>
      <c r="C110" s="11"/>
      <c r="D110" s="2"/>
      <c r="E110" s="2"/>
      <c r="F110" s="19">
        <f t="shared" si="17"/>
        <v>0</v>
      </c>
      <c r="G110" s="2"/>
      <c r="H110" s="2"/>
      <c r="I110" s="2"/>
      <c r="J110" s="19">
        <f t="shared" si="18"/>
        <v>0</v>
      </c>
      <c r="K110" s="2"/>
      <c r="L110" s="2">
        <f t="shared" si="19"/>
        <v>0</v>
      </c>
      <c r="M110" s="2"/>
      <c r="N110" s="19">
        <f t="shared" si="20"/>
        <v>0</v>
      </c>
      <c r="O110" s="11"/>
      <c r="P110" s="2"/>
      <c r="Q110" s="2"/>
      <c r="R110" s="19">
        <f t="shared" si="21"/>
        <v>0</v>
      </c>
      <c r="S110" s="2"/>
      <c r="T110" s="2">
        <v>0</v>
      </c>
      <c r="U110" s="2"/>
      <c r="V110" s="19">
        <f t="shared" si="22"/>
        <v>0</v>
      </c>
      <c r="W110" s="2"/>
      <c r="X110" s="2">
        <f t="shared" si="23"/>
        <v>0</v>
      </c>
      <c r="Y110" s="2"/>
      <c r="Z110" s="19">
        <f t="shared" si="24"/>
        <v>0</v>
      </c>
    </row>
    <row r="111" spans="1:26" s="24" customFormat="1" hidden="1" outlineLevel="1" x14ac:dyDescent="0.3">
      <c r="A111" s="44"/>
      <c r="B111" s="11" t="str">
        <f>CONCATENATE("          ", "5527", " - ", "FREIGHT-IN-SCHOOL SUPPLIES")</f>
        <v xml:space="preserve">          5527 - FREIGHT-IN-SCHOOL SUPPLIES</v>
      </c>
      <c r="C111" s="11"/>
      <c r="D111" s="2"/>
      <c r="E111" s="2"/>
      <c r="F111" s="19">
        <f t="shared" si="17"/>
        <v>0</v>
      </c>
      <c r="G111" s="2"/>
      <c r="H111" s="2"/>
      <c r="I111" s="2"/>
      <c r="J111" s="19">
        <f t="shared" si="18"/>
        <v>0</v>
      </c>
      <c r="K111" s="2"/>
      <c r="L111" s="2">
        <f t="shared" si="19"/>
        <v>0</v>
      </c>
      <c r="M111" s="2"/>
      <c r="N111" s="19">
        <f t="shared" si="20"/>
        <v>0</v>
      </c>
      <c r="O111" s="11"/>
      <c r="P111" s="2">
        <v>0</v>
      </c>
      <c r="Q111" s="2"/>
      <c r="R111" s="19">
        <f t="shared" si="21"/>
        <v>0</v>
      </c>
      <c r="S111" s="2"/>
      <c r="T111" s="2">
        <v>177.5</v>
      </c>
      <c r="U111" s="2"/>
      <c r="V111" s="19">
        <f t="shared" si="22"/>
        <v>4.5777645483104635E-5</v>
      </c>
      <c r="W111" s="2"/>
      <c r="X111" s="2">
        <f t="shared" si="23"/>
        <v>-177.5</v>
      </c>
      <c r="Y111" s="2"/>
      <c r="Z111" s="19">
        <f t="shared" si="24"/>
        <v>-1</v>
      </c>
    </row>
    <row r="112" spans="1:26" s="24" customFormat="1" hidden="1" outlineLevel="1" x14ac:dyDescent="0.3">
      <c r="A112" s="44"/>
      <c r="B112" s="11" t="str">
        <f>CONCATENATE("          ", "5528", " - ", "FREIGHT-IN-ART/TECH")</f>
        <v xml:space="preserve">          5528 - FREIGHT-IN-ART/TECH</v>
      </c>
      <c r="C112" s="11"/>
      <c r="D112" s="2"/>
      <c r="E112" s="2"/>
      <c r="F112" s="19">
        <f t="shared" si="17"/>
        <v>0</v>
      </c>
      <c r="G112" s="2"/>
      <c r="H112" s="2">
        <v>48.53</v>
      </c>
      <c r="I112" s="2"/>
      <c r="J112" s="19">
        <f t="shared" si="18"/>
        <v>4.1168156667494302E-5</v>
      </c>
      <c r="K112" s="2"/>
      <c r="L112" s="2">
        <f t="shared" si="19"/>
        <v>-48.53</v>
      </c>
      <c r="M112" s="2"/>
      <c r="N112" s="19">
        <f t="shared" si="20"/>
        <v>-1</v>
      </c>
      <c r="O112" s="11"/>
      <c r="P112" s="2">
        <v>0</v>
      </c>
      <c r="Q112" s="2"/>
      <c r="R112" s="19">
        <f t="shared" si="21"/>
        <v>0</v>
      </c>
      <c r="S112" s="2"/>
      <c r="T112" s="2">
        <v>338.74</v>
      </c>
      <c r="U112" s="2"/>
      <c r="V112" s="19">
        <f t="shared" si="22"/>
        <v>8.7361800737728815E-5</v>
      </c>
      <c r="W112" s="2"/>
      <c r="X112" s="2">
        <f t="shared" si="23"/>
        <v>-338.74</v>
      </c>
      <c r="Y112" s="2"/>
      <c r="Z112" s="19">
        <f t="shared" si="24"/>
        <v>-1</v>
      </c>
    </row>
    <row r="113" spans="1:26" s="24" customFormat="1" hidden="1" outlineLevel="1" x14ac:dyDescent="0.3">
      <c r="A113" s="44"/>
      <c r="B113" s="11" t="str">
        <f>CONCATENATE("          ", "5540", " - ", "FREIGHT-IN-LOGO CLOTHING")</f>
        <v xml:space="preserve">          5540 - FREIGHT-IN-LOGO CLOTHING</v>
      </c>
      <c r="C113" s="11"/>
      <c r="D113" s="2"/>
      <c r="E113" s="2"/>
      <c r="F113" s="19">
        <f t="shared" si="17"/>
        <v>0</v>
      </c>
      <c r="G113" s="2"/>
      <c r="H113" s="2">
        <v>347.67</v>
      </c>
      <c r="I113" s="2"/>
      <c r="J113" s="19">
        <f t="shared" si="18"/>
        <v>2.9492959053343794E-4</v>
      </c>
      <c r="K113" s="2"/>
      <c r="L113" s="2">
        <f t="shared" si="19"/>
        <v>-347.67</v>
      </c>
      <c r="M113" s="2"/>
      <c r="N113" s="19">
        <f t="shared" si="20"/>
        <v>-1</v>
      </c>
      <c r="O113" s="11"/>
      <c r="P113" s="2">
        <v>0</v>
      </c>
      <c r="Q113" s="2"/>
      <c r="R113" s="19">
        <f t="shared" si="21"/>
        <v>0</v>
      </c>
      <c r="S113" s="2"/>
      <c r="T113" s="2">
        <v>5790.63</v>
      </c>
      <c r="U113" s="2"/>
      <c r="V113" s="19">
        <f t="shared" si="22"/>
        <v>1.4934163789511561E-3</v>
      </c>
      <c r="W113" s="2"/>
      <c r="X113" s="2">
        <f t="shared" si="23"/>
        <v>-5790.63</v>
      </c>
      <c r="Y113" s="2"/>
      <c r="Z113" s="19">
        <f t="shared" si="24"/>
        <v>-1</v>
      </c>
    </row>
    <row r="114" spans="1:26" s="24" customFormat="1" hidden="1" outlineLevel="1" x14ac:dyDescent="0.3">
      <c r="A114" s="44"/>
      <c r="B114" s="11" t="str">
        <f>CONCATENATE("          ", "5541", " - ", "FREIGHT-IN-LOGO GIFTS")</f>
        <v xml:space="preserve">          5541 - FREIGHT-IN-LOGO GIFTS</v>
      </c>
      <c r="C114" s="11"/>
      <c r="D114" s="2"/>
      <c r="E114" s="2"/>
      <c r="F114" s="19">
        <f t="shared" si="17"/>
        <v>0</v>
      </c>
      <c r="G114" s="2"/>
      <c r="H114" s="2">
        <v>182.93</v>
      </c>
      <c r="I114" s="2"/>
      <c r="J114" s="19">
        <f t="shared" si="18"/>
        <v>1.5518011331516036E-4</v>
      </c>
      <c r="K114" s="2"/>
      <c r="L114" s="2">
        <f t="shared" si="19"/>
        <v>-182.93</v>
      </c>
      <c r="M114" s="2"/>
      <c r="N114" s="19">
        <f t="shared" si="20"/>
        <v>-1</v>
      </c>
      <c r="O114" s="11"/>
      <c r="P114" s="2">
        <v>0</v>
      </c>
      <c r="Q114" s="2"/>
      <c r="R114" s="19">
        <f t="shared" si="21"/>
        <v>0</v>
      </c>
      <c r="S114" s="2"/>
      <c r="T114" s="2">
        <v>1702.87</v>
      </c>
      <c r="U114" s="2"/>
      <c r="V114" s="19">
        <f t="shared" si="22"/>
        <v>4.3917396712008107E-4</v>
      </c>
      <c r="W114" s="2"/>
      <c r="X114" s="2">
        <f t="shared" si="23"/>
        <v>-1702.87</v>
      </c>
      <c r="Y114" s="2"/>
      <c r="Z114" s="19">
        <f t="shared" si="24"/>
        <v>-1</v>
      </c>
    </row>
    <row r="115" spans="1:26" s="24" customFormat="1" hidden="1" outlineLevel="1" x14ac:dyDescent="0.3">
      <c r="A115" s="44"/>
      <c r="B115" s="11" t="str">
        <f>CONCATENATE("          ", "5542", " - ", "FREIGHT-IN-EVERYDAY GIFTS")</f>
        <v xml:space="preserve">          5542 - FREIGHT-IN-EVERYDAY GIFTS</v>
      </c>
      <c r="C115" s="11"/>
      <c r="D115" s="2"/>
      <c r="E115" s="2"/>
      <c r="F115" s="19">
        <f t="shared" si="17"/>
        <v>0</v>
      </c>
      <c r="G115" s="2"/>
      <c r="H115" s="2">
        <v>187.38</v>
      </c>
      <c r="I115" s="2"/>
      <c r="J115" s="19">
        <f t="shared" si="18"/>
        <v>1.5895506277261657E-4</v>
      </c>
      <c r="K115" s="2"/>
      <c r="L115" s="2">
        <f t="shared" si="19"/>
        <v>-187.38</v>
      </c>
      <c r="M115" s="2"/>
      <c r="N115" s="19">
        <f t="shared" si="20"/>
        <v>-1</v>
      </c>
      <c r="O115" s="11"/>
      <c r="P115" s="2">
        <v>0</v>
      </c>
      <c r="Q115" s="2"/>
      <c r="R115" s="19">
        <f t="shared" si="21"/>
        <v>0</v>
      </c>
      <c r="S115" s="2"/>
      <c r="T115" s="2">
        <v>383.93</v>
      </c>
      <c r="U115" s="2"/>
      <c r="V115" s="19">
        <f t="shared" si="22"/>
        <v>9.9016402424385145E-5</v>
      </c>
      <c r="W115" s="2"/>
      <c r="X115" s="2">
        <f t="shared" si="23"/>
        <v>-383.93</v>
      </c>
      <c r="Y115" s="2"/>
      <c r="Z115" s="19">
        <f t="shared" si="24"/>
        <v>-1</v>
      </c>
    </row>
    <row r="116" spans="1:26" s="24" customFormat="1" hidden="1" outlineLevel="1" x14ac:dyDescent="0.3">
      <c r="A116" s="44"/>
      <c r="B116" s="11" t="str">
        <f>CONCATENATE("          ", "5543", " - ", "FREIGHT-IN-CARDS")</f>
        <v xml:space="preserve">          5543 - FREIGHT-IN-CARDS</v>
      </c>
      <c r="C116" s="11"/>
      <c r="D116" s="2"/>
      <c r="E116" s="2"/>
      <c r="F116" s="19">
        <f t="shared" si="17"/>
        <v>0</v>
      </c>
      <c r="G116" s="2"/>
      <c r="H116" s="2">
        <v>1992.81</v>
      </c>
      <c r="I116" s="2"/>
      <c r="J116" s="19">
        <f t="shared" si="18"/>
        <v>1.6905071973737753E-3</v>
      </c>
      <c r="K116" s="2"/>
      <c r="L116" s="2">
        <f t="shared" si="19"/>
        <v>-1992.81</v>
      </c>
      <c r="M116" s="2"/>
      <c r="N116" s="19">
        <f t="shared" si="20"/>
        <v>-1</v>
      </c>
      <c r="O116" s="11"/>
      <c r="P116" s="2"/>
      <c r="Q116" s="2"/>
      <c r="R116" s="19">
        <f t="shared" si="21"/>
        <v>0</v>
      </c>
      <c r="S116" s="2"/>
      <c r="T116" s="2">
        <v>9110.5300000000007</v>
      </c>
      <c r="U116" s="2"/>
      <c r="V116" s="19">
        <f t="shared" si="22"/>
        <v>2.3496259859334609E-3</v>
      </c>
      <c r="W116" s="2"/>
      <c r="X116" s="2">
        <f t="shared" si="23"/>
        <v>-9110.5300000000007</v>
      </c>
      <c r="Y116" s="2"/>
      <c r="Z116" s="19">
        <f t="shared" si="24"/>
        <v>-1</v>
      </c>
    </row>
    <row r="117" spans="1:26" s="24" customFormat="1" hidden="1" outlineLevel="1" x14ac:dyDescent="0.3">
      <c r="A117" s="44"/>
      <c r="B117" s="11" t="str">
        <f>CONCATENATE("          ", "5544", " - ", "FREIGHT-IN-ACCESSORIES")</f>
        <v xml:space="preserve">          5544 - FREIGHT-IN-ACCESSORIES</v>
      </c>
      <c r="C117" s="11"/>
      <c r="D117" s="2"/>
      <c r="E117" s="2"/>
      <c r="F117" s="19">
        <f t="shared" si="17"/>
        <v>0</v>
      </c>
      <c r="G117" s="2"/>
      <c r="H117" s="2"/>
      <c r="I117" s="2"/>
      <c r="J117" s="19">
        <f t="shared" si="18"/>
        <v>0</v>
      </c>
      <c r="K117" s="2"/>
      <c r="L117" s="2">
        <f t="shared" si="19"/>
        <v>0</v>
      </c>
      <c r="M117" s="2"/>
      <c r="N117" s="19">
        <f t="shared" si="20"/>
        <v>0</v>
      </c>
      <c r="O117" s="11"/>
      <c r="P117" s="2">
        <v>0</v>
      </c>
      <c r="Q117" s="2"/>
      <c r="R117" s="19">
        <f t="shared" si="21"/>
        <v>0</v>
      </c>
      <c r="S117" s="2"/>
      <c r="T117" s="2"/>
      <c r="U117" s="2"/>
      <c r="V117" s="19">
        <f t="shared" si="22"/>
        <v>0</v>
      </c>
      <c r="W117" s="2"/>
      <c r="X117" s="2">
        <f t="shared" si="23"/>
        <v>0</v>
      </c>
      <c r="Y117" s="2"/>
      <c r="Z117" s="19">
        <f t="shared" si="24"/>
        <v>0</v>
      </c>
    </row>
    <row r="118" spans="1:26" s="24" customFormat="1" hidden="1" outlineLevel="1" x14ac:dyDescent="0.3">
      <c r="A118" s="44"/>
      <c r="B118" s="11" t="str">
        <f>CONCATENATE("          ", "5545", " - ", "FREIGHT-IN-SPECIAL ORDERS")</f>
        <v xml:space="preserve">          5545 - FREIGHT-IN-SPECIAL ORDERS</v>
      </c>
      <c r="C118" s="11"/>
      <c r="D118" s="2"/>
      <c r="E118" s="2"/>
      <c r="F118" s="19">
        <f t="shared" si="17"/>
        <v>0</v>
      </c>
      <c r="G118" s="2"/>
      <c r="H118" s="2"/>
      <c r="I118" s="2"/>
      <c r="J118" s="19">
        <f t="shared" si="18"/>
        <v>0</v>
      </c>
      <c r="K118" s="2"/>
      <c r="L118" s="2">
        <f t="shared" si="19"/>
        <v>0</v>
      </c>
      <c r="M118" s="2"/>
      <c r="N118" s="19">
        <f t="shared" si="20"/>
        <v>0</v>
      </c>
      <c r="O118" s="11"/>
      <c r="P118" s="2">
        <v>0</v>
      </c>
      <c r="Q118" s="2"/>
      <c r="R118" s="19">
        <f t="shared" si="21"/>
        <v>0</v>
      </c>
      <c r="S118" s="2"/>
      <c r="T118" s="2">
        <v>1113.79</v>
      </c>
      <c r="U118" s="2"/>
      <c r="V118" s="19">
        <f t="shared" si="22"/>
        <v>2.8724892260634992E-4</v>
      </c>
      <c r="W118" s="2"/>
      <c r="X118" s="2">
        <f t="shared" si="23"/>
        <v>-1113.79</v>
      </c>
      <c r="Y118" s="2"/>
      <c r="Z118" s="19">
        <f t="shared" si="24"/>
        <v>-1</v>
      </c>
    </row>
    <row r="119" spans="1:26" s="24" customFormat="1" hidden="1" outlineLevel="1" x14ac:dyDescent="0.3">
      <c r="A119" s="44"/>
      <c r="B119" s="11" t="str">
        <f>CONCATENATE("          ", "5592", " - ", "FREIGHT-IN-GRAD MERCH")</f>
        <v xml:space="preserve">          5592 - FREIGHT-IN-GRAD MERCH</v>
      </c>
      <c r="C119" s="11"/>
      <c r="D119" s="2"/>
      <c r="E119" s="2"/>
      <c r="F119" s="19">
        <f t="shared" si="17"/>
        <v>0</v>
      </c>
      <c r="G119" s="2"/>
      <c r="H119" s="2"/>
      <c r="I119" s="2"/>
      <c r="J119" s="19">
        <f t="shared" si="18"/>
        <v>0</v>
      </c>
      <c r="K119" s="2"/>
      <c r="L119" s="2">
        <f t="shared" si="19"/>
        <v>0</v>
      </c>
      <c r="M119" s="2"/>
      <c r="N119" s="19">
        <f t="shared" si="20"/>
        <v>0</v>
      </c>
      <c r="O119" s="11"/>
      <c r="P119" s="2"/>
      <c r="Q119" s="2"/>
      <c r="R119" s="19">
        <f t="shared" si="21"/>
        <v>0</v>
      </c>
      <c r="S119" s="2"/>
      <c r="T119" s="2">
        <v>0</v>
      </c>
      <c r="U119" s="2"/>
      <c r="V119" s="19">
        <f t="shared" si="22"/>
        <v>0</v>
      </c>
      <c r="W119" s="2"/>
      <c r="X119" s="2">
        <f t="shared" si="23"/>
        <v>0</v>
      </c>
      <c r="Y119" s="2"/>
      <c r="Z119" s="19">
        <f t="shared" si="24"/>
        <v>0</v>
      </c>
    </row>
    <row r="120" spans="1:26" x14ac:dyDescent="0.3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">
      <c r="A121" s="10"/>
      <c r="B121" s="25" t="s">
        <v>107</v>
      </c>
      <c r="C121" s="25"/>
      <c r="D121" s="21">
        <f>D12-D79</f>
        <v>303999.81000000006</v>
      </c>
      <c r="E121" s="13"/>
      <c r="F121" s="22">
        <f>IF(D$12=0,0,D121/D$12)</f>
        <v>0.40235341690051385</v>
      </c>
      <c r="G121" s="13"/>
      <c r="H121" s="21">
        <f>H12-H79</f>
        <v>407230.3899999999</v>
      </c>
      <c r="I121" s="13"/>
      <c r="J121" s="22">
        <f>IF(H$12=0,0,H121/H$12)</f>
        <v>0.34545486287419741</v>
      </c>
      <c r="K121" s="15"/>
      <c r="L121" s="21">
        <f>+D121-H121</f>
        <v>-103230.57999999984</v>
      </c>
      <c r="M121" s="15"/>
      <c r="N121" s="22">
        <f>IF(H121=0,0,L121/H121)</f>
        <v>-0.25349429348826313</v>
      </c>
      <c r="O121" s="26"/>
      <c r="P121" s="21">
        <f>P12-P79</f>
        <v>1753207.8699999996</v>
      </c>
      <c r="Q121" s="13"/>
      <c r="R121" s="22">
        <f>IF(P$12=0,0,P121/P$12)</f>
        <v>0.39695111530921234</v>
      </c>
      <c r="S121" s="13"/>
      <c r="T121" s="21">
        <f>T12-T79</f>
        <v>1371221.6199999992</v>
      </c>
      <c r="U121" s="13"/>
      <c r="V121" s="22">
        <f>IF(T$12=0,0,T121/T$12)</f>
        <v>0.35364111098100498</v>
      </c>
      <c r="W121" s="15"/>
      <c r="X121" s="21">
        <f>+P121-T121</f>
        <v>381986.25000000047</v>
      </c>
      <c r="Y121" s="15"/>
      <c r="Z121" s="22">
        <f>IF(T121=0,0,X121/T121)</f>
        <v>0.27857367797336852</v>
      </c>
    </row>
    <row r="122" spans="1:26" x14ac:dyDescent="0.3">
      <c r="A122" s="9"/>
      <c r="B122" s="10"/>
      <c r="C122" s="9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3">
      <c r="A123" s="10"/>
      <c r="B123" s="26" t="s">
        <v>294</v>
      </c>
      <c r="C123" s="10"/>
      <c r="D123" s="20">
        <f>SUM(OSRRefD22x_0)</f>
        <v>357580.36</v>
      </c>
      <c r="E123" s="20"/>
      <c r="F123" s="30">
        <f t="shared" ref="F123:F134" si="25">IF(D$12=0,0,D123/D$12)</f>
        <v>0.47326897889349268</v>
      </c>
      <c r="G123" s="20"/>
      <c r="H123" s="20">
        <f>SUM(OSRRefH22x_0)</f>
        <v>298970.27000000008</v>
      </c>
      <c r="I123" s="20"/>
      <c r="J123" s="30">
        <f t="shared" ref="J123:J134" si="26">IF(H$12=0,0,H123/H$12)</f>
        <v>0.25361745135551361</v>
      </c>
      <c r="K123" s="4"/>
      <c r="L123" s="20">
        <f t="shared" ref="L123:L134" si="27">+D123-H123</f>
        <v>58610.089999999909</v>
      </c>
      <c r="M123" s="4"/>
      <c r="N123" s="30">
        <f t="shared" ref="N123:N134" si="28">IF(H123=0,0,L123/H123)</f>
        <v>0.19603986041822785</v>
      </c>
      <c r="O123" s="10"/>
      <c r="P123" s="20">
        <f>SUM(OSRRefP22x_0)</f>
        <v>2225256.7299999995</v>
      </c>
      <c r="Q123" s="20"/>
      <c r="R123" s="30">
        <f t="shared" ref="R123:R134" si="29">IF(P$12=0,0,P123/P$12)</f>
        <v>0.50382966899574244</v>
      </c>
      <c r="S123" s="20"/>
      <c r="T123" s="20">
        <f>SUM(OSRRefT22x_0)</f>
        <v>1906395.4399999992</v>
      </c>
      <c r="U123" s="20"/>
      <c r="V123" s="30">
        <f t="shared" ref="V123:V134" si="30">IF(T$12=0,0,T123/T$12)</f>
        <v>0.4916636315657873</v>
      </c>
      <c r="W123" s="4"/>
      <c r="X123" s="20">
        <f t="shared" ref="X123:X134" si="31">+P123-T123</f>
        <v>318861.29000000027</v>
      </c>
      <c r="Y123" s="4"/>
      <c r="Z123" s="30">
        <f t="shared" ref="Z123:Z134" si="32">IF(T123=0,0,X123/T123)</f>
        <v>0.16725873515517872</v>
      </c>
    </row>
    <row r="124" spans="1:26" s="29" customFormat="1" outlineLevel="1" collapsed="1" x14ac:dyDescent="0.3">
      <c r="A124" s="28"/>
      <c r="B124" s="14" t="str">
        <f>CONCATENATE("     ","*Benefits                                         ")</f>
        <v xml:space="preserve">     *Benefits                                         </v>
      </c>
      <c r="C124" s="14"/>
      <c r="D124" s="1">
        <f>SUM(OSRRefD22_0x_0)</f>
        <v>58185.54</v>
      </c>
      <c r="E124" s="1"/>
      <c r="F124" s="5">
        <f t="shared" si="25"/>
        <v>7.7010412714407686E-2</v>
      </c>
      <c r="G124" s="1"/>
      <c r="H124" s="1">
        <f>SUM(OSRRefH22_0x_0)</f>
        <v>51590.869999999995</v>
      </c>
      <c r="I124" s="1"/>
      <c r="J124" s="5">
        <f t="shared" si="26"/>
        <v>4.3764702632852495E-2</v>
      </c>
      <c r="K124" s="1"/>
      <c r="L124" s="1">
        <f t="shared" si="27"/>
        <v>6594.6700000000055</v>
      </c>
      <c r="M124" s="1"/>
      <c r="N124" s="5">
        <f t="shared" si="28"/>
        <v>0.12782629949834159</v>
      </c>
      <c r="O124" s="14"/>
      <c r="P124" s="1">
        <f>SUM(OSRRefP22_0x_0)</f>
        <v>359403.28999999992</v>
      </c>
      <c r="Q124" s="1"/>
      <c r="R124" s="5">
        <f t="shared" si="29"/>
        <v>8.1373999770660552E-2</v>
      </c>
      <c r="S124" s="1"/>
      <c r="T124" s="1">
        <f>SUM(OSRRefT22_0x_0)</f>
        <v>319455.47000000003</v>
      </c>
      <c r="U124" s="1"/>
      <c r="V124" s="5">
        <f t="shared" si="30"/>
        <v>8.2388277483372227E-2</v>
      </c>
      <c r="W124" s="1"/>
      <c r="X124" s="1">
        <f t="shared" si="31"/>
        <v>39947.819999999891</v>
      </c>
      <c r="Y124" s="1"/>
      <c r="Z124" s="5">
        <f t="shared" si="32"/>
        <v>0.12504972915317394</v>
      </c>
    </row>
    <row r="125" spans="1:26" s="24" customFormat="1" hidden="1" outlineLevel="2" x14ac:dyDescent="0.3">
      <c r="A125" s="27"/>
      <c r="B125" s="11" t="str">
        <f>CONCATENATE("          ", "6111", " - ", "F.I.C.A.")</f>
        <v xml:space="preserve">          6111 - F.I.C.A.</v>
      </c>
      <c r="C125" s="11"/>
      <c r="D125" s="7">
        <v>7139.7</v>
      </c>
      <c r="E125" s="2"/>
      <c r="F125" s="6">
        <f t="shared" si="25"/>
        <v>9.4496200199750049E-3</v>
      </c>
      <c r="G125" s="2"/>
      <c r="H125" s="7">
        <v>7931.47</v>
      </c>
      <c r="I125" s="2"/>
      <c r="J125" s="6">
        <f t="shared" si="26"/>
        <v>6.7282917692876787E-3</v>
      </c>
      <c r="K125" s="2"/>
      <c r="L125" s="7">
        <f t="shared" si="27"/>
        <v>-791.77000000000044</v>
      </c>
      <c r="M125" s="2"/>
      <c r="N125" s="6">
        <f t="shared" si="28"/>
        <v>-9.9826387794444207E-2</v>
      </c>
      <c r="O125" s="11"/>
      <c r="P125" s="7">
        <v>62956.42</v>
      </c>
      <c r="Q125" s="2"/>
      <c r="R125" s="6">
        <f t="shared" si="29"/>
        <v>1.4254225960595994E-2</v>
      </c>
      <c r="S125" s="2"/>
      <c r="T125" s="7">
        <v>63448.71</v>
      </c>
      <c r="U125" s="2"/>
      <c r="V125" s="6">
        <f t="shared" si="30"/>
        <v>1.636356367741023E-2</v>
      </c>
      <c r="W125" s="2"/>
      <c r="X125" s="7">
        <f t="shared" si="31"/>
        <v>-492.29000000000087</v>
      </c>
      <c r="Y125" s="2"/>
      <c r="Z125" s="6">
        <f t="shared" si="32"/>
        <v>-7.7588653890678138E-3</v>
      </c>
    </row>
    <row r="126" spans="1:26" s="24" customFormat="1" hidden="1" outlineLevel="2" x14ac:dyDescent="0.3">
      <c r="A126" s="27"/>
      <c r="B126" s="11" t="str">
        <f>CONCATENATE("          ", "6112", " - ", "COMPENSATION INSURANCE")</f>
        <v xml:space="preserve">          6112 - COMPENSATION INSURANCE</v>
      </c>
      <c r="C126" s="11"/>
      <c r="D126" s="7">
        <v>2257.4699999999998</v>
      </c>
      <c r="E126" s="2"/>
      <c r="F126" s="6">
        <f t="shared" si="25"/>
        <v>2.9878333412458472E-3</v>
      </c>
      <c r="G126" s="2"/>
      <c r="H126" s="7">
        <v>804.16</v>
      </c>
      <c r="I126" s="2"/>
      <c r="J126" s="6">
        <f t="shared" si="26"/>
        <v>6.8217154060853523E-4</v>
      </c>
      <c r="K126" s="2"/>
      <c r="L126" s="7">
        <f t="shared" si="27"/>
        <v>1453.31</v>
      </c>
      <c r="M126" s="2"/>
      <c r="N126" s="6">
        <f t="shared" si="28"/>
        <v>1.8072398527656188</v>
      </c>
      <c r="O126" s="11"/>
      <c r="P126" s="7">
        <v>17142.810000000001</v>
      </c>
      <c r="Q126" s="2"/>
      <c r="R126" s="6">
        <f t="shared" si="29"/>
        <v>3.8813752011242798E-3</v>
      </c>
      <c r="S126" s="2"/>
      <c r="T126" s="7">
        <v>16489.57</v>
      </c>
      <c r="U126" s="2"/>
      <c r="V126" s="6">
        <f t="shared" si="30"/>
        <v>4.2526968429793671E-3</v>
      </c>
      <c r="W126" s="2"/>
      <c r="X126" s="7">
        <f t="shared" si="31"/>
        <v>653.2400000000016</v>
      </c>
      <c r="Y126" s="2"/>
      <c r="Z126" s="6">
        <f t="shared" si="32"/>
        <v>3.9615344730032476E-2</v>
      </c>
    </row>
    <row r="127" spans="1:26" s="24" customFormat="1" hidden="1" outlineLevel="2" x14ac:dyDescent="0.3">
      <c r="A127" s="27"/>
      <c r="B127" s="11" t="str">
        <f>CONCATENATE("          ", "6113", " - ", "GROUP INSURANCE")</f>
        <v xml:space="preserve">          6113 - GROUP INSURANCE</v>
      </c>
      <c r="C127" s="11"/>
      <c r="D127" s="7">
        <v>15053.29</v>
      </c>
      <c r="E127" s="2"/>
      <c r="F127" s="6">
        <f t="shared" si="25"/>
        <v>1.9923508067634432E-2</v>
      </c>
      <c r="G127" s="2"/>
      <c r="H127" s="7">
        <v>21620.29</v>
      </c>
      <c r="I127" s="2"/>
      <c r="J127" s="6">
        <f t="shared" si="26"/>
        <v>1.8340562248437262E-2</v>
      </c>
      <c r="K127" s="2"/>
      <c r="L127" s="7">
        <f t="shared" si="27"/>
        <v>-6567</v>
      </c>
      <c r="M127" s="2"/>
      <c r="N127" s="6">
        <f t="shared" si="28"/>
        <v>-0.30374245673855438</v>
      </c>
      <c r="O127" s="11"/>
      <c r="P127" s="7">
        <v>121860.33</v>
      </c>
      <c r="Q127" s="2"/>
      <c r="R127" s="6">
        <f t="shared" si="29"/>
        <v>2.7590906208656635E-2</v>
      </c>
      <c r="S127" s="2"/>
      <c r="T127" s="7">
        <v>110017.99</v>
      </c>
      <c r="U127" s="2"/>
      <c r="V127" s="6">
        <f t="shared" si="30"/>
        <v>2.8373884749204232E-2</v>
      </c>
      <c r="W127" s="2"/>
      <c r="X127" s="7">
        <f t="shared" si="31"/>
        <v>11842.339999999997</v>
      </c>
      <c r="Y127" s="2"/>
      <c r="Z127" s="6">
        <f t="shared" si="32"/>
        <v>0.10764003232562235</v>
      </c>
    </row>
    <row r="128" spans="1:26" s="24" customFormat="1" hidden="1" outlineLevel="2" x14ac:dyDescent="0.3">
      <c r="A128" s="27"/>
      <c r="B128" s="11" t="str">
        <f>CONCATENATE("          ", "6114", " - ", "STATE UNEMPLOYMENT INSURANCE")</f>
        <v xml:space="preserve">          6114 - STATE UNEMPLOYMENT INSURANCE</v>
      </c>
      <c r="C128" s="11"/>
      <c r="D128" s="7">
        <v>406.86</v>
      </c>
      <c r="E128" s="2"/>
      <c r="F128" s="6">
        <f t="shared" si="25"/>
        <v>5.3849214971595882E-4</v>
      </c>
      <c r="G128" s="2"/>
      <c r="H128" s="7">
        <v>667.99</v>
      </c>
      <c r="I128" s="2"/>
      <c r="J128" s="6">
        <f t="shared" si="26"/>
        <v>5.6665808721037536E-4</v>
      </c>
      <c r="K128" s="2"/>
      <c r="L128" s="7">
        <f t="shared" si="27"/>
        <v>-261.13</v>
      </c>
      <c r="M128" s="2"/>
      <c r="N128" s="6">
        <f t="shared" si="28"/>
        <v>-0.39091902573391818</v>
      </c>
      <c r="O128" s="11"/>
      <c r="P128" s="7">
        <v>3093.05</v>
      </c>
      <c r="Q128" s="2"/>
      <c r="R128" s="6">
        <f t="shared" si="29"/>
        <v>7.0031036719402789E-4</v>
      </c>
      <c r="S128" s="2"/>
      <c r="T128" s="7">
        <v>2616.2600000000002</v>
      </c>
      <c r="U128" s="2"/>
      <c r="V128" s="6">
        <f t="shared" si="30"/>
        <v>6.7473928322043576E-4</v>
      </c>
      <c r="W128" s="2"/>
      <c r="X128" s="7">
        <f t="shared" si="31"/>
        <v>476.78999999999996</v>
      </c>
      <c r="Y128" s="2"/>
      <c r="Z128" s="6">
        <f t="shared" si="32"/>
        <v>0.1822410616681828</v>
      </c>
    </row>
    <row r="129" spans="1:26" s="24" customFormat="1" hidden="1" outlineLevel="2" x14ac:dyDescent="0.3">
      <c r="A129" s="27"/>
      <c r="B129" s="11" t="str">
        <f>CONCATENATE("          ", "6115", " - ", "P.E.R.S.")</f>
        <v xml:space="preserve">          6115 - P.E.R.S.</v>
      </c>
      <c r="C129" s="11"/>
      <c r="D129" s="7">
        <v>5727.73</v>
      </c>
      <c r="E129" s="2"/>
      <c r="F129" s="6">
        <f t="shared" si="25"/>
        <v>7.5808328188875498E-3</v>
      </c>
      <c r="G129" s="2"/>
      <c r="H129" s="7">
        <v>9507.2199999999993</v>
      </c>
      <c r="I129" s="2"/>
      <c r="J129" s="6">
        <f t="shared" si="26"/>
        <v>8.0650056136891638E-3</v>
      </c>
      <c r="K129" s="2"/>
      <c r="L129" s="7">
        <f t="shared" si="27"/>
        <v>-3779.49</v>
      </c>
      <c r="M129" s="2"/>
      <c r="N129" s="6">
        <f t="shared" si="28"/>
        <v>-0.39753892305006089</v>
      </c>
      <c r="O129" s="11"/>
      <c r="P129" s="7">
        <v>48335.55</v>
      </c>
      <c r="Q129" s="2"/>
      <c r="R129" s="6">
        <f t="shared" si="29"/>
        <v>1.0943853726588737E-2</v>
      </c>
      <c r="S129" s="2"/>
      <c r="T129" s="7">
        <v>49525.27</v>
      </c>
      <c r="U129" s="2"/>
      <c r="V129" s="6">
        <f t="shared" si="30"/>
        <v>1.2772677478957958E-2</v>
      </c>
      <c r="W129" s="2"/>
      <c r="X129" s="7">
        <f t="shared" si="31"/>
        <v>-1189.7199999999939</v>
      </c>
      <c r="Y129" s="2"/>
      <c r="Z129" s="6">
        <f t="shared" si="32"/>
        <v>-2.4022483875403282E-2</v>
      </c>
    </row>
    <row r="130" spans="1:26" s="24" customFormat="1" hidden="1" outlineLevel="2" x14ac:dyDescent="0.3">
      <c r="A130" s="27"/>
      <c r="B130" s="11" t="str">
        <f>CONCATENATE("          ", "6116", " - ", "EDUCATIONAL BENEFITS")</f>
        <v xml:space="preserve">          6116 - EDUCATIONAL BENEFITS</v>
      </c>
      <c r="C130" s="11"/>
      <c r="D130" s="7"/>
      <c r="E130" s="2"/>
      <c r="F130" s="6">
        <f t="shared" si="25"/>
        <v>0</v>
      </c>
      <c r="G130" s="2"/>
      <c r="H130" s="7"/>
      <c r="I130" s="2"/>
      <c r="J130" s="6">
        <f t="shared" si="26"/>
        <v>0</v>
      </c>
      <c r="K130" s="2"/>
      <c r="L130" s="7">
        <f t="shared" si="27"/>
        <v>0</v>
      </c>
      <c r="M130" s="2"/>
      <c r="N130" s="6">
        <f t="shared" si="28"/>
        <v>0</v>
      </c>
      <c r="O130" s="11"/>
      <c r="P130" s="7"/>
      <c r="Q130" s="2"/>
      <c r="R130" s="6">
        <f t="shared" si="29"/>
        <v>0</v>
      </c>
      <c r="S130" s="2"/>
      <c r="T130" s="7">
        <v>0</v>
      </c>
      <c r="U130" s="2"/>
      <c r="V130" s="6">
        <f t="shared" si="30"/>
        <v>0</v>
      </c>
      <c r="W130" s="2"/>
      <c r="X130" s="7">
        <f t="shared" si="31"/>
        <v>0</v>
      </c>
      <c r="Y130" s="2"/>
      <c r="Z130" s="6">
        <f t="shared" si="32"/>
        <v>0</v>
      </c>
    </row>
    <row r="131" spans="1:26" s="24" customFormat="1" hidden="1" outlineLevel="2" x14ac:dyDescent="0.3">
      <c r="A131" s="27"/>
      <c r="B131" s="11" t="str">
        <f>CONCATENATE("          ", "6117", " - ", "RETIREMENT STAFF HOURLY")</f>
        <v xml:space="preserve">          6117 - RETIREMENT STAFF HOURLY</v>
      </c>
      <c r="C131" s="11"/>
      <c r="D131" s="7">
        <v>968.65</v>
      </c>
      <c r="E131" s="2"/>
      <c r="F131" s="6">
        <f t="shared" si="25"/>
        <v>1.2820390818029874E-3</v>
      </c>
      <c r="G131" s="2"/>
      <c r="H131" s="7">
        <v>506.92</v>
      </c>
      <c r="I131" s="2"/>
      <c r="J131" s="6">
        <f t="shared" si="26"/>
        <v>4.3002188291543813E-4</v>
      </c>
      <c r="K131" s="2"/>
      <c r="L131" s="7">
        <f t="shared" si="27"/>
        <v>461.72999999999996</v>
      </c>
      <c r="M131" s="2"/>
      <c r="N131" s="6">
        <f t="shared" si="28"/>
        <v>0.91085378363449843</v>
      </c>
      <c r="O131" s="11"/>
      <c r="P131" s="7">
        <v>4663.0600000000004</v>
      </c>
      <c r="Q131" s="2"/>
      <c r="R131" s="6">
        <f t="shared" si="29"/>
        <v>1.055782887715292E-3</v>
      </c>
      <c r="S131" s="2"/>
      <c r="T131" s="7">
        <v>2241.04</v>
      </c>
      <c r="U131" s="2"/>
      <c r="V131" s="6">
        <f t="shared" si="30"/>
        <v>5.7796920920257357E-4</v>
      </c>
      <c r="W131" s="2"/>
      <c r="X131" s="7">
        <f t="shared" si="31"/>
        <v>2422.0200000000004</v>
      </c>
      <c r="Y131" s="2"/>
      <c r="Z131" s="6">
        <f t="shared" si="32"/>
        <v>1.0807571484667835</v>
      </c>
    </row>
    <row r="132" spans="1:26" s="24" customFormat="1" hidden="1" outlineLevel="2" x14ac:dyDescent="0.3">
      <c r="A132" s="27"/>
      <c r="B132" s="11" t="str">
        <f>CONCATENATE("          ", "6118", " - ", "VACATION")</f>
        <v xml:space="preserve">          6118 - VACATION</v>
      </c>
      <c r="C132" s="11"/>
      <c r="D132" s="7">
        <v>9670.4599999999991</v>
      </c>
      <c r="E132" s="2"/>
      <c r="F132" s="6">
        <f t="shared" si="25"/>
        <v>1.2799161367896059E-2</v>
      </c>
      <c r="G132" s="2"/>
      <c r="H132" s="7">
        <v>5779.06</v>
      </c>
      <c r="I132" s="2"/>
      <c r="J132" s="6">
        <f t="shared" si="26"/>
        <v>4.9023953733947998E-3</v>
      </c>
      <c r="K132" s="2"/>
      <c r="L132" s="7">
        <f t="shared" si="27"/>
        <v>3891.3999999999987</v>
      </c>
      <c r="M132" s="2"/>
      <c r="N132" s="6">
        <f t="shared" si="28"/>
        <v>0.67336210387156359</v>
      </c>
      <c r="O132" s="11"/>
      <c r="P132" s="7">
        <v>43963.98</v>
      </c>
      <c r="Q132" s="2"/>
      <c r="R132" s="6">
        <f t="shared" si="29"/>
        <v>9.9540683070467335E-3</v>
      </c>
      <c r="S132" s="2"/>
      <c r="T132" s="7">
        <v>38065.31</v>
      </c>
      <c r="U132" s="2"/>
      <c r="V132" s="6">
        <f t="shared" si="30"/>
        <v>9.8171282613210009E-3</v>
      </c>
      <c r="W132" s="2"/>
      <c r="X132" s="7">
        <f t="shared" si="31"/>
        <v>5898.6700000000055</v>
      </c>
      <c r="Y132" s="2"/>
      <c r="Z132" s="6">
        <f t="shared" si="32"/>
        <v>0.15496182744866668</v>
      </c>
    </row>
    <row r="133" spans="1:26" s="24" customFormat="1" hidden="1" outlineLevel="2" x14ac:dyDescent="0.3">
      <c r="A133" s="27"/>
      <c r="B133" s="11" t="str">
        <f>CONCATENATE("          ", "6119", " - ", "SICK LEAVE")</f>
        <v xml:space="preserve">          6119 - SICK LEAVE</v>
      </c>
      <c r="C133" s="11"/>
      <c r="D133" s="7">
        <v>14065.21</v>
      </c>
      <c r="E133" s="2"/>
      <c r="F133" s="6">
        <f t="shared" si="25"/>
        <v>1.8615752762882565E-2</v>
      </c>
      <c r="G133" s="2"/>
      <c r="H133" s="7">
        <v>3939.34</v>
      </c>
      <c r="I133" s="2"/>
      <c r="J133" s="6">
        <f t="shared" si="26"/>
        <v>3.3417549203900061E-3</v>
      </c>
      <c r="K133" s="2"/>
      <c r="L133" s="7">
        <f t="shared" si="27"/>
        <v>10125.869999999999</v>
      </c>
      <c r="M133" s="2"/>
      <c r="N133" s="6">
        <f t="shared" si="28"/>
        <v>2.5704483492158583</v>
      </c>
      <c r="O133" s="11"/>
      <c r="P133" s="7">
        <v>38845.35</v>
      </c>
      <c r="Q133" s="2"/>
      <c r="R133" s="6">
        <f t="shared" si="29"/>
        <v>8.7951379131538544E-3</v>
      </c>
      <c r="S133" s="2"/>
      <c r="T133" s="7">
        <v>27320.45</v>
      </c>
      <c r="U133" s="2"/>
      <c r="V133" s="6">
        <f t="shared" si="30"/>
        <v>7.0460049269796404E-3</v>
      </c>
      <c r="W133" s="2"/>
      <c r="X133" s="7">
        <f t="shared" si="31"/>
        <v>11524.899999999998</v>
      </c>
      <c r="Y133" s="2"/>
      <c r="Z133" s="6">
        <f t="shared" si="32"/>
        <v>0.42184151432351946</v>
      </c>
    </row>
    <row r="134" spans="1:26" s="24" customFormat="1" hidden="1" outlineLevel="2" x14ac:dyDescent="0.3">
      <c r="A134" s="27"/>
      <c r="B134" s="11" t="str">
        <f>CONCATENATE("          ", "6156", " - ", "EMPLOYEE MEALS")</f>
        <v xml:space="preserve">          6156 - EMPLOYEE MEALS</v>
      </c>
      <c r="C134" s="11"/>
      <c r="D134" s="7">
        <v>2896.17</v>
      </c>
      <c r="E134" s="2"/>
      <c r="F134" s="6">
        <f t="shared" si="25"/>
        <v>3.8331731043672723E-3</v>
      </c>
      <c r="G134" s="2"/>
      <c r="H134" s="7">
        <v>834.42</v>
      </c>
      <c r="I134" s="2"/>
      <c r="J134" s="6">
        <f t="shared" si="26"/>
        <v>7.0784119691923739E-4</v>
      </c>
      <c r="K134" s="2"/>
      <c r="L134" s="7">
        <f t="shared" si="27"/>
        <v>2061.75</v>
      </c>
      <c r="M134" s="2"/>
      <c r="N134" s="6">
        <f t="shared" si="28"/>
        <v>2.4708779751204433</v>
      </c>
      <c r="O134" s="11"/>
      <c r="P134" s="7">
        <v>18542.740000000002</v>
      </c>
      <c r="Q134" s="2"/>
      <c r="R134" s="6">
        <f t="shared" si="29"/>
        <v>4.1983391985850179E-3</v>
      </c>
      <c r="S134" s="2"/>
      <c r="T134" s="7">
        <v>9730.8700000000008</v>
      </c>
      <c r="U134" s="2"/>
      <c r="V134" s="6">
        <f t="shared" si="30"/>
        <v>2.50961305409678E-3</v>
      </c>
      <c r="W134" s="2"/>
      <c r="X134" s="7">
        <f t="shared" si="31"/>
        <v>8811.8700000000008</v>
      </c>
      <c r="Y134" s="2"/>
      <c r="Z134" s="6">
        <f t="shared" si="32"/>
        <v>0.90555829026592694</v>
      </c>
    </row>
    <row r="135" spans="1:26" s="29" customFormat="1" outlineLevel="1" collapsed="1" x14ac:dyDescent="0.3">
      <c r="A135" s="28"/>
      <c r="B135" s="14" t="str">
        <f>CONCATENATE("     ","*Payroll                                          ")</f>
        <v xml:space="preserve">     *Payroll                                          </v>
      </c>
      <c r="C135" s="14"/>
      <c r="D135" s="1">
        <f>SUM(OSRRefD22_1x_0)</f>
        <v>194439.41</v>
      </c>
      <c r="E135" s="1"/>
      <c r="F135" s="5">
        <f t="shared" ref="F135:F142" si="33">IF(D$12=0,0,D135/D$12)</f>
        <v>0.25734674305756944</v>
      </c>
      <c r="G135" s="1"/>
      <c r="H135" s="1">
        <f>SUM(OSRRefH22_1x_0)</f>
        <v>164815.32</v>
      </c>
      <c r="I135" s="1"/>
      <c r="J135" s="5">
        <f t="shared" ref="J135:J142" si="34">IF(H$12=0,0,H135/H$12)</f>
        <v>0.13981337141898223</v>
      </c>
      <c r="K135" s="1"/>
      <c r="L135" s="1">
        <f t="shared" ref="L135:L142" si="35">+D135-H135</f>
        <v>29624.089999999997</v>
      </c>
      <c r="M135" s="1"/>
      <c r="N135" s="5">
        <f t="shared" ref="N135:N142" si="36">IF(H135=0,0,L135/H135)</f>
        <v>0.17974111872609896</v>
      </c>
      <c r="O135" s="14"/>
      <c r="P135" s="1">
        <f>SUM(OSRRefP22_1x_0)</f>
        <v>1148637.0699999998</v>
      </c>
      <c r="Q135" s="1"/>
      <c r="R135" s="5">
        <f t="shared" ref="R135:R142" si="37">IF(P$12=0,0,P135/P$12)</f>
        <v>0.26006771577063809</v>
      </c>
      <c r="S135" s="1"/>
      <c r="T135" s="1">
        <f>SUM(OSRRefT22_1x_0)</f>
        <v>895037.81999999983</v>
      </c>
      <c r="U135" s="1"/>
      <c r="V135" s="5">
        <f t="shared" ref="V135:V142" si="38">IF(T$12=0,0,T135/T$12)</f>
        <v>0.23083224798834262</v>
      </c>
      <c r="W135" s="1"/>
      <c r="X135" s="1">
        <f t="shared" ref="X135:X142" si="39">+P135-T135</f>
        <v>253599.25</v>
      </c>
      <c r="Y135" s="1"/>
      <c r="Z135" s="5">
        <f t="shared" ref="Z135:Z142" si="40">IF(T135=0,0,X135/T135)</f>
        <v>0.28333914426096546</v>
      </c>
    </row>
    <row r="136" spans="1:26" s="24" customFormat="1" hidden="1" outlineLevel="2" x14ac:dyDescent="0.3">
      <c r="A136" s="27"/>
      <c r="B136" s="11" t="str">
        <f>CONCATENATE("          ", "6001", " - ", "ADMINISTRATIVE SALARIES")</f>
        <v xml:space="preserve">          6001 - ADMINISTRATIVE SALARIES</v>
      </c>
      <c r="C136" s="11"/>
      <c r="D136" s="7">
        <v>5357.43</v>
      </c>
      <c r="E136" s="2"/>
      <c r="F136" s="6">
        <f t="shared" si="33"/>
        <v>7.0907289919204869E-3</v>
      </c>
      <c r="G136" s="2"/>
      <c r="H136" s="7">
        <v>5332.74</v>
      </c>
      <c r="I136" s="2"/>
      <c r="J136" s="6">
        <f t="shared" si="34"/>
        <v>4.5237806673606743E-3</v>
      </c>
      <c r="K136" s="2"/>
      <c r="L136" s="7">
        <f t="shared" si="35"/>
        <v>24.690000000000509</v>
      </c>
      <c r="M136" s="2"/>
      <c r="N136" s="6">
        <f t="shared" si="36"/>
        <v>4.6298900752709694E-3</v>
      </c>
      <c r="O136" s="11"/>
      <c r="P136" s="7">
        <v>33692.199999999997</v>
      </c>
      <c r="Q136" s="2"/>
      <c r="R136" s="6">
        <f t="shared" si="37"/>
        <v>7.6283917019041476E-3</v>
      </c>
      <c r="S136" s="2"/>
      <c r="T136" s="7">
        <v>30215.85</v>
      </c>
      <c r="U136" s="2"/>
      <c r="V136" s="6">
        <f t="shared" si="38"/>
        <v>7.7927350381446041E-3</v>
      </c>
      <c r="W136" s="2"/>
      <c r="X136" s="7">
        <f t="shared" si="39"/>
        <v>3476.3499999999985</v>
      </c>
      <c r="Y136" s="2"/>
      <c r="Z136" s="6">
        <f t="shared" si="40"/>
        <v>0.11505054466447241</v>
      </c>
    </row>
    <row r="137" spans="1:26" s="24" customFormat="1" hidden="1" outlineLevel="2" x14ac:dyDescent="0.3">
      <c r="A137" s="27"/>
      <c r="B137" s="11" t="str">
        <f>CONCATENATE("          ", "6002", " - ", "STAFF SALARIES")</f>
        <v xml:space="preserve">          6002 - STAFF SALARIES</v>
      </c>
      <c r="C137" s="11"/>
      <c r="D137" s="7">
        <v>63389.16</v>
      </c>
      <c r="E137" s="2"/>
      <c r="F137" s="6">
        <f t="shared" si="33"/>
        <v>8.3897569279577422E-2</v>
      </c>
      <c r="G137" s="2"/>
      <c r="H137" s="7">
        <v>79241.259999999995</v>
      </c>
      <c r="I137" s="2"/>
      <c r="J137" s="6">
        <f t="shared" si="34"/>
        <v>6.7220618302280016E-2</v>
      </c>
      <c r="K137" s="2"/>
      <c r="L137" s="7">
        <f t="shared" si="35"/>
        <v>-15852.099999999991</v>
      </c>
      <c r="M137" s="2"/>
      <c r="N137" s="6">
        <f t="shared" si="36"/>
        <v>-0.20004856056049578</v>
      </c>
      <c r="O137" s="11"/>
      <c r="P137" s="7">
        <v>405028.23</v>
      </c>
      <c r="Q137" s="2"/>
      <c r="R137" s="6">
        <f t="shared" si="37"/>
        <v>9.1704132967539209E-2</v>
      </c>
      <c r="S137" s="2"/>
      <c r="T137" s="7">
        <v>414753.45</v>
      </c>
      <c r="U137" s="2"/>
      <c r="V137" s="6">
        <f t="shared" si="38"/>
        <v>0.10696583885630741</v>
      </c>
      <c r="W137" s="2"/>
      <c r="X137" s="7">
        <f t="shared" si="39"/>
        <v>-9725.2200000000303</v>
      </c>
      <c r="Y137" s="2"/>
      <c r="Z137" s="6">
        <f t="shared" si="40"/>
        <v>-2.3448195548463866E-2</v>
      </c>
    </row>
    <row r="138" spans="1:26" s="24" customFormat="1" hidden="1" outlineLevel="2" x14ac:dyDescent="0.3">
      <c r="A138" s="27"/>
      <c r="B138" s="11" t="str">
        <f>CONCATENATE("          ", "6004", " - ", "STAFF HOURLY")</f>
        <v xml:space="preserve">          6004 - STAFF HOURLY</v>
      </c>
      <c r="C138" s="11"/>
      <c r="D138" s="7">
        <v>21317.88</v>
      </c>
      <c r="E138" s="2"/>
      <c r="F138" s="6">
        <f t="shared" si="33"/>
        <v>2.8214892170738939E-2</v>
      </c>
      <c r="G138" s="2"/>
      <c r="H138" s="7">
        <v>18984.73</v>
      </c>
      <c r="I138" s="2"/>
      <c r="J138" s="6">
        <f t="shared" si="34"/>
        <v>1.6104808137854504E-2</v>
      </c>
      <c r="K138" s="2"/>
      <c r="L138" s="7">
        <f t="shared" si="35"/>
        <v>2333.1500000000015</v>
      </c>
      <c r="M138" s="2"/>
      <c r="N138" s="6">
        <f t="shared" si="36"/>
        <v>0.12289613810678379</v>
      </c>
      <c r="O138" s="11"/>
      <c r="P138" s="7">
        <v>153792.24</v>
      </c>
      <c r="Q138" s="2"/>
      <c r="R138" s="6">
        <f t="shared" si="37"/>
        <v>3.4820743300623028E-2</v>
      </c>
      <c r="S138" s="2"/>
      <c r="T138" s="7">
        <v>110021.64</v>
      </c>
      <c r="U138" s="2"/>
      <c r="V138" s="6">
        <f t="shared" si="38"/>
        <v>2.83748260923367E-2</v>
      </c>
      <c r="W138" s="2"/>
      <c r="X138" s="7">
        <f t="shared" si="39"/>
        <v>43770.599999999991</v>
      </c>
      <c r="Y138" s="2"/>
      <c r="Z138" s="6">
        <f t="shared" si="40"/>
        <v>0.39783628020814804</v>
      </c>
    </row>
    <row r="139" spans="1:26" s="24" customFormat="1" hidden="1" outlineLevel="2" x14ac:dyDescent="0.3">
      <c r="A139" s="27"/>
      <c r="B139" s="11" t="str">
        <f>CONCATENATE("          ", "6005", " - ", "TEMPORARY WAGES-HOURLY")</f>
        <v xml:space="preserve">          6005 - TEMPORARY WAGES-HOURLY</v>
      </c>
      <c r="C139" s="11"/>
      <c r="D139" s="7">
        <v>7084.01</v>
      </c>
      <c r="E139" s="2"/>
      <c r="F139" s="6">
        <f t="shared" si="33"/>
        <v>9.3759125338183872E-3</v>
      </c>
      <c r="G139" s="2"/>
      <c r="H139" s="7">
        <v>12550.77</v>
      </c>
      <c r="I139" s="2"/>
      <c r="J139" s="6">
        <f t="shared" si="34"/>
        <v>1.0646858966776992E-2</v>
      </c>
      <c r="K139" s="2"/>
      <c r="L139" s="7">
        <f t="shared" si="35"/>
        <v>-5466.76</v>
      </c>
      <c r="M139" s="2"/>
      <c r="N139" s="6">
        <f t="shared" si="36"/>
        <v>-0.4355716820561607</v>
      </c>
      <c r="O139" s="11"/>
      <c r="P139" s="7">
        <v>59931.45</v>
      </c>
      <c r="Q139" s="2"/>
      <c r="R139" s="6">
        <f t="shared" si="37"/>
        <v>1.3569329870506625E-2</v>
      </c>
      <c r="S139" s="2"/>
      <c r="T139" s="7">
        <v>110194.22</v>
      </c>
      <c r="U139" s="2"/>
      <c r="V139" s="6">
        <f t="shared" si="38"/>
        <v>2.8419334858857684E-2</v>
      </c>
      <c r="W139" s="2"/>
      <c r="X139" s="7">
        <f t="shared" si="39"/>
        <v>-50262.770000000004</v>
      </c>
      <c r="Y139" s="2"/>
      <c r="Z139" s="6">
        <f t="shared" si="40"/>
        <v>-0.45612891492856888</v>
      </c>
    </row>
    <row r="140" spans="1:26" s="24" customFormat="1" hidden="1" outlineLevel="2" x14ac:dyDescent="0.3">
      <c r="A140" s="27"/>
      <c r="B140" s="11" t="str">
        <f>CONCATENATE("          ", "6006", " - ", "TEMPORARY PART TIME")</f>
        <v xml:space="preserve">          6006 - TEMPORARY PART TIME</v>
      </c>
      <c r="C140" s="11"/>
      <c r="D140" s="7">
        <v>2092.35</v>
      </c>
      <c r="E140" s="2"/>
      <c r="F140" s="6">
        <f t="shared" si="33"/>
        <v>2.7692917697935073E-3</v>
      </c>
      <c r="G140" s="2"/>
      <c r="H140" s="7"/>
      <c r="I140" s="2"/>
      <c r="J140" s="6">
        <f t="shared" si="34"/>
        <v>0</v>
      </c>
      <c r="K140" s="2"/>
      <c r="L140" s="7">
        <f t="shared" si="35"/>
        <v>2092.35</v>
      </c>
      <c r="M140" s="2"/>
      <c r="N140" s="6">
        <f t="shared" si="36"/>
        <v>0</v>
      </c>
      <c r="O140" s="11"/>
      <c r="P140" s="7">
        <v>11969.97</v>
      </c>
      <c r="Q140" s="2"/>
      <c r="R140" s="6">
        <f t="shared" si="37"/>
        <v>2.7101708947483865E-3</v>
      </c>
      <c r="S140" s="2"/>
      <c r="T140" s="7">
        <v>9987.9599999999991</v>
      </c>
      <c r="U140" s="2"/>
      <c r="V140" s="6">
        <f t="shared" si="38"/>
        <v>2.5759171379122802E-3</v>
      </c>
      <c r="W140" s="2"/>
      <c r="X140" s="7">
        <f t="shared" si="39"/>
        <v>1982.0100000000002</v>
      </c>
      <c r="Y140" s="2"/>
      <c r="Z140" s="6">
        <f t="shared" si="40"/>
        <v>0.19843992166568553</v>
      </c>
    </row>
    <row r="141" spans="1:26" s="24" customFormat="1" hidden="1" outlineLevel="2" x14ac:dyDescent="0.3">
      <c r="A141" s="27"/>
      <c r="B141" s="11" t="str">
        <f>CONCATENATE("          ", "6007", " - ", "STUDENT HOURLY")</f>
        <v xml:space="preserve">          6007 - STUDENT HOURLY</v>
      </c>
      <c r="C141" s="11"/>
      <c r="D141" s="7">
        <v>89539.64</v>
      </c>
      <c r="E141" s="2"/>
      <c r="F141" s="6">
        <f t="shared" si="33"/>
        <v>0.11850856124562024</v>
      </c>
      <c r="G141" s="2"/>
      <c r="H141" s="7">
        <v>47460.94</v>
      </c>
      <c r="I141" s="2"/>
      <c r="J141" s="6">
        <f t="shared" si="34"/>
        <v>4.0261269596261015E-2</v>
      </c>
      <c r="K141" s="2"/>
      <c r="L141" s="7">
        <f t="shared" si="35"/>
        <v>42078.7</v>
      </c>
      <c r="M141" s="2"/>
      <c r="N141" s="6">
        <f t="shared" si="36"/>
        <v>0.88659643066487925</v>
      </c>
      <c r="O141" s="11"/>
      <c r="P141" s="7">
        <v>421271.7</v>
      </c>
      <c r="Q141" s="2"/>
      <c r="R141" s="6">
        <f t="shared" si="37"/>
        <v>9.5381884843585563E-2</v>
      </c>
      <c r="S141" s="2"/>
      <c r="T141" s="7">
        <v>213689.37</v>
      </c>
      <c r="U141" s="2"/>
      <c r="V141" s="6">
        <f t="shared" si="38"/>
        <v>5.5110964638692819E-2</v>
      </c>
      <c r="W141" s="2"/>
      <c r="X141" s="7">
        <f t="shared" si="39"/>
        <v>207582.33000000002</v>
      </c>
      <c r="Y141" s="2"/>
      <c r="Z141" s="6">
        <f t="shared" si="40"/>
        <v>0.97142094620804031</v>
      </c>
    </row>
    <row r="142" spans="1:26" s="24" customFormat="1" hidden="1" outlineLevel="2" x14ac:dyDescent="0.3">
      <c r="A142" s="27"/>
      <c r="B142" s="11" t="str">
        <f>CONCATENATE("          ", "6008", " - ", "STUDENT HOURLY-FICA EXEMPT")</f>
        <v xml:space="preserve">          6008 - STUDENT HOURLY-FICA EXEMPT</v>
      </c>
      <c r="C142" s="11"/>
      <c r="D142" s="7">
        <v>5658.94</v>
      </c>
      <c r="E142" s="2"/>
      <c r="F142" s="6">
        <f t="shared" si="33"/>
        <v>7.4897870661004467E-3</v>
      </c>
      <c r="G142" s="2"/>
      <c r="H142" s="7">
        <v>1244.8800000000001</v>
      </c>
      <c r="I142" s="2"/>
      <c r="J142" s="6">
        <f t="shared" si="34"/>
        <v>1.0560357484490071E-3</v>
      </c>
      <c r="K142" s="2"/>
      <c r="L142" s="7">
        <f t="shared" si="35"/>
        <v>4414.0599999999995</v>
      </c>
      <c r="M142" s="2"/>
      <c r="N142" s="6">
        <f t="shared" si="36"/>
        <v>3.5457714799820055</v>
      </c>
      <c r="O142" s="11"/>
      <c r="P142" s="7">
        <v>62951.28</v>
      </c>
      <c r="Q142" s="2"/>
      <c r="R142" s="6">
        <f t="shared" si="37"/>
        <v>1.4253062191731159E-2</v>
      </c>
      <c r="S142" s="2"/>
      <c r="T142" s="7">
        <v>6175.33</v>
      </c>
      <c r="U142" s="2"/>
      <c r="V142" s="6">
        <f t="shared" si="38"/>
        <v>1.592631366091158E-3</v>
      </c>
      <c r="W142" s="2"/>
      <c r="X142" s="7">
        <f t="shared" si="39"/>
        <v>56775.95</v>
      </c>
      <c r="Y142" s="2"/>
      <c r="Z142" s="6">
        <f t="shared" si="40"/>
        <v>9.1939944909826679</v>
      </c>
    </row>
    <row r="143" spans="1:26" s="29" customFormat="1" outlineLevel="1" collapsed="1" x14ac:dyDescent="0.3">
      <c r="A143" s="28"/>
      <c r="B143" s="14" t="str">
        <f>CONCATENATE("     ","Advertising/Promo                                 ")</f>
        <v xml:space="preserve">     Advertising/Promo                                 </v>
      </c>
      <c r="C143" s="14"/>
      <c r="D143" s="1">
        <f>SUM(OSRRefD22_2x_0)</f>
        <v>722.24</v>
      </c>
      <c r="E143" s="1"/>
      <c r="F143" s="5">
        <f t="shared" ref="F143:F147" si="41">IF(D$12=0,0,D143/D$12)</f>
        <v>9.5590761001537153E-4</v>
      </c>
      <c r="G143" s="1"/>
      <c r="H143" s="1">
        <f>SUM(OSRRefH22_2x_0)</f>
        <v>1331.63</v>
      </c>
      <c r="I143" s="1"/>
      <c r="J143" s="5">
        <f t="shared" ref="J143:J147" si="42">IF(H$12=0,0,H143/H$12)</f>
        <v>1.1296260552881813E-3</v>
      </c>
      <c r="K143" s="1"/>
      <c r="L143" s="1">
        <f t="shared" ref="L143:L147" si="43">+D143-H143</f>
        <v>-609.3900000000001</v>
      </c>
      <c r="M143" s="1"/>
      <c r="N143" s="5">
        <f t="shared" ref="N143:N147" si="44">IF(H143=0,0,L143/H143)</f>
        <v>-0.45762711864406785</v>
      </c>
      <c r="O143" s="14"/>
      <c r="P143" s="1">
        <f>SUM(OSRRefP22_2x_0)</f>
        <v>6277.23</v>
      </c>
      <c r="Q143" s="1"/>
      <c r="R143" s="5">
        <f t="shared" ref="R143:R147" si="45">IF(P$12=0,0,P143/P$12)</f>
        <v>1.4212538582503895E-3</v>
      </c>
      <c r="S143" s="1"/>
      <c r="T143" s="1">
        <f>SUM(OSRRefT22_2x_0)</f>
        <v>16034.14</v>
      </c>
      <c r="U143" s="1"/>
      <c r="V143" s="5">
        <f t="shared" ref="V143:V147" si="46">IF(T$12=0,0,T143/T$12)</f>
        <v>4.1352404312477034E-3</v>
      </c>
      <c r="W143" s="1"/>
      <c r="X143" s="1">
        <f t="shared" ref="X143:X147" si="47">+P143-T143</f>
        <v>-9756.91</v>
      </c>
      <c r="Y143" s="1"/>
      <c r="Z143" s="5">
        <f t="shared" ref="Z143:Z147" si="48">IF(T143=0,0,X143/T143)</f>
        <v>-0.60850847005202646</v>
      </c>
    </row>
    <row r="144" spans="1:26" s="24" customFormat="1" hidden="1" outlineLevel="2" x14ac:dyDescent="0.3">
      <c r="A144" s="27"/>
      <c r="B144" s="11" t="str">
        <f>CONCATENATE("          ", "6362", " - ", "ADVERTISING EXPENSE")</f>
        <v xml:space="preserve">          6362 - ADVERTISING EXPENSE</v>
      </c>
      <c r="C144" s="11"/>
      <c r="D144" s="7">
        <v>722.24</v>
      </c>
      <c r="E144" s="2"/>
      <c r="F144" s="6">
        <f t="shared" si="41"/>
        <v>9.5590761001537153E-4</v>
      </c>
      <c r="G144" s="2"/>
      <c r="H144" s="7">
        <v>1331.63</v>
      </c>
      <c r="I144" s="2"/>
      <c r="J144" s="6">
        <f t="shared" si="42"/>
        <v>1.1296260552881813E-3</v>
      </c>
      <c r="K144" s="2"/>
      <c r="L144" s="7">
        <f t="shared" si="43"/>
        <v>-609.3900000000001</v>
      </c>
      <c r="M144" s="2"/>
      <c r="N144" s="6">
        <f t="shared" si="44"/>
        <v>-0.45762711864406785</v>
      </c>
      <c r="O144" s="11"/>
      <c r="P144" s="7">
        <v>6277.23</v>
      </c>
      <c r="Q144" s="2"/>
      <c r="R144" s="6">
        <f t="shared" si="45"/>
        <v>1.4212538582503895E-3</v>
      </c>
      <c r="S144" s="2"/>
      <c r="T144" s="7">
        <v>16034.14</v>
      </c>
      <c r="U144" s="2"/>
      <c r="V144" s="6">
        <f t="shared" si="46"/>
        <v>4.1352404312477034E-3</v>
      </c>
      <c r="W144" s="2"/>
      <c r="X144" s="7">
        <f t="shared" si="47"/>
        <v>-9756.91</v>
      </c>
      <c r="Y144" s="2"/>
      <c r="Z144" s="6">
        <f t="shared" si="48"/>
        <v>-0.60850847005202646</v>
      </c>
    </row>
    <row r="145" spans="1:26" s="29" customFormat="1" outlineLevel="1" collapsed="1" x14ac:dyDescent="0.3">
      <c r="A145" s="28"/>
      <c r="B145" s="14" t="str">
        <f>CONCATENATE("     ","Bad Debts/Over/Short                              ")</f>
        <v xml:space="preserve">     Bad Debts/Over/Short                              </v>
      </c>
      <c r="C145" s="14"/>
      <c r="D145" s="1">
        <f>SUM(OSRRefD22_3x_0)</f>
        <v>-2.2799999999999998</v>
      </c>
      <c r="E145" s="1"/>
      <c r="F145" s="5">
        <f t="shared" si="41"/>
        <v>-3.0176525127866734E-6</v>
      </c>
      <c r="G145" s="1"/>
      <c r="H145" s="1">
        <f>SUM(OSRRefH22_3x_0)</f>
        <v>1872.1</v>
      </c>
      <c r="I145" s="1"/>
      <c r="J145" s="5">
        <f t="shared" si="42"/>
        <v>1.5881085122030924E-3</v>
      </c>
      <c r="K145" s="1"/>
      <c r="L145" s="1">
        <f t="shared" si="43"/>
        <v>-1874.3799999999999</v>
      </c>
      <c r="M145" s="1"/>
      <c r="N145" s="5">
        <f t="shared" si="44"/>
        <v>-1.0012178836600609</v>
      </c>
      <c r="O145" s="14"/>
      <c r="P145" s="1">
        <f>SUM(OSRRefP22_3x_0)</f>
        <v>150.78</v>
      </c>
      <c r="Q145" s="1"/>
      <c r="R145" s="5">
        <f t="shared" si="45"/>
        <v>3.4138729462994624E-5</v>
      </c>
      <c r="S145" s="1"/>
      <c r="T145" s="1">
        <f>SUM(OSRRefT22_3x_0)</f>
        <v>1918.06</v>
      </c>
      <c r="U145" s="1"/>
      <c r="V145" s="5">
        <f t="shared" si="46"/>
        <v>4.9467194757928828E-4</v>
      </c>
      <c r="W145" s="1"/>
      <c r="X145" s="1">
        <f t="shared" si="47"/>
        <v>-1767.28</v>
      </c>
      <c r="Y145" s="1"/>
      <c r="Z145" s="5">
        <f t="shared" si="48"/>
        <v>-0.92138932045921396</v>
      </c>
    </row>
    <row r="146" spans="1:26" s="24" customFormat="1" hidden="1" outlineLevel="2" x14ac:dyDescent="0.3">
      <c r="A146" s="27"/>
      <c r="B146" s="11" t="str">
        <f>CONCATENATE("          ", "6272", " - ", "CASH (OVER/SHORT)")</f>
        <v xml:space="preserve">          6272 - CASH (OVER/SHORT)</v>
      </c>
      <c r="C146" s="11"/>
      <c r="D146" s="7">
        <v>-2.2799999999999998</v>
      </c>
      <c r="E146" s="2"/>
      <c r="F146" s="6">
        <f t="shared" si="41"/>
        <v>-3.0176525127866734E-6</v>
      </c>
      <c r="G146" s="2"/>
      <c r="H146" s="7">
        <v>-124.68</v>
      </c>
      <c r="I146" s="2"/>
      <c r="J146" s="6">
        <f t="shared" si="42"/>
        <v>-1.0576644906868308E-4</v>
      </c>
      <c r="K146" s="2"/>
      <c r="L146" s="7">
        <f t="shared" si="43"/>
        <v>122.4</v>
      </c>
      <c r="M146" s="2"/>
      <c r="N146" s="6">
        <f t="shared" si="44"/>
        <v>-0.98171318575553412</v>
      </c>
      <c r="O146" s="11"/>
      <c r="P146" s="7">
        <v>150.78</v>
      </c>
      <c r="Q146" s="2"/>
      <c r="R146" s="6">
        <f t="shared" si="45"/>
        <v>3.4138729462994624E-5</v>
      </c>
      <c r="S146" s="2"/>
      <c r="T146" s="7">
        <v>-78.72</v>
      </c>
      <c r="U146" s="2"/>
      <c r="V146" s="6">
        <f t="shared" si="46"/>
        <v>-2.0302063393971814E-5</v>
      </c>
      <c r="W146" s="2"/>
      <c r="X146" s="7">
        <f t="shared" si="47"/>
        <v>229.5</v>
      </c>
      <c r="Y146" s="2"/>
      <c r="Z146" s="6">
        <f t="shared" si="48"/>
        <v>-2.9153963414634148</v>
      </c>
    </row>
    <row r="147" spans="1:26" s="24" customFormat="1" hidden="1" outlineLevel="2" x14ac:dyDescent="0.3">
      <c r="A147" s="27"/>
      <c r="B147" s="11" t="str">
        <f>CONCATENATE("          ", "6342", " - ", "BAD DEBT")</f>
        <v xml:space="preserve">          6342 - BAD DEBT</v>
      </c>
      <c r="C147" s="11"/>
      <c r="D147" s="7"/>
      <c r="E147" s="2"/>
      <c r="F147" s="6">
        <f t="shared" si="41"/>
        <v>0</v>
      </c>
      <c r="G147" s="2"/>
      <c r="H147" s="7">
        <v>1996.78</v>
      </c>
      <c r="I147" s="2"/>
      <c r="J147" s="6">
        <f t="shared" si="42"/>
        <v>1.6938749612717754E-3</v>
      </c>
      <c r="K147" s="2"/>
      <c r="L147" s="7">
        <f t="shared" si="43"/>
        <v>-1996.78</v>
      </c>
      <c r="M147" s="2"/>
      <c r="N147" s="6">
        <f t="shared" si="44"/>
        <v>-1</v>
      </c>
      <c r="O147" s="11"/>
      <c r="P147" s="7"/>
      <c r="Q147" s="2"/>
      <c r="R147" s="6">
        <f t="shared" si="45"/>
        <v>0</v>
      </c>
      <c r="S147" s="2"/>
      <c r="T147" s="7">
        <v>1996.78</v>
      </c>
      <c r="U147" s="2"/>
      <c r="V147" s="6">
        <f t="shared" si="46"/>
        <v>5.1497401097326014E-4</v>
      </c>
      <c r="W147" s="2"/>
      <c r="X147" s="7">
        <f t="shared" si="47"/>
        <v>-1996.78</v>
      </c>
      <c r="Y147" s="2"/>
      <c r="Z147" s="6">
        <f t="shared" si="48"/>
        <v>-1</v>
      </c>
    </row>
    <row r="148" spans="1:26" s="29" customFormat="1" outlineLevel="1" collapsed="1" x14ac:dyDescent="0.3">
      <c r="A148" s="28"/>
      <c r="B148" s="14" t="str">
        <f>CONCATENATE("     ","Bank/card Fees                                    ")</f>
        <v xml:space="preserve">     Bank/card Fees                                    </v>
      </c>
      <c r="C148" s="14"/>
      <c r="D148" s="1">
        <f>SUM(OSRRefD22_4x_0)</f>
        <v>12256.54</v>
      </c>
      <c r="E148" s="1"/>
      <c r="F148" s="5">
        <f t="shared" ref="F148:F152" si="49">IF(D$12=0,0,D148/D$12)</f>
        <v>1.6221920495206307E-2</v>
      </c>
      <c r="G148" s="1"/>
      <c r="H148" s="1">
        <f>SUM(OSRRefH22_4x_0)</f>
        <v>14947.88</v>
      </c>
      <c r="I148" s="1"/>
      <c r="J148" s="5">
        <f t="shared" ref="J148:J152" si="50">IF(H$12=0,0,H148/H$12)</f>
        <v>1.2680335167667518E-2</v>
      </c>
      <c r="K148" s="1"/>
      <c r="L148" s="1">
        <f t="shared" ref="L148:L152" si="51">+D148-H148</f>
        <v>-2691.3399999999983</v>
      </c>
      <c r="M148" s="1"/>
      <c r="N148" s="5">
        <f t="shared" ref="N148:N152" si="52">IF(H148=0,0,L148/H148)</f>
        <v>-0.18004827440412946</v>
      </c>
      <c r="O148" s="14"/>
      <c r="P148" s="1">
        <f>SUM(OSRRefP22_4x_0)</f>
        <v>79623.13</v>
      </c>
      <c r="Q148" s="1"/>
      <c r="R148" s="5">
        <f t="shared" ref="R148:R152" si="53">IF(P$12=0,0,P148/P$12)</f>
        <v>1.8027805372508629E-2</v>
      </c>
      <c r="S148" s="1"/>
      <c r="T148" s="1">
        <f>SUM(OSRRefT22_4x_0)</f>
        <v>61744.66</v>
      </c>
      <c r="U148" s="1"/>
      <c r="V148" s="5">
        <f t="shared" ref="V148:V152" si="54">IF(T$12=0,0,T148/T$12)</f>
        <v>1.5924085385661025E-2</v>
      </c>
      <c r="W148" s="1"/>
      <c r="X148" s="1">
        <f t="shared" ref="X148:X152" si="55">+P148-T148</f>
        <v>17878.47</v>
      </c>
      <c r="Y148" s="1"/>
      <c r="Z148" s="5">
        <f t="shared" ref="Z148:Z152" si="56">IF(T148=0,0,X148/T148)</f>
        <v>0.28955491859538945</v>
      </c>
    </row>
    <row r="149" spans="1:26" s="24" customFormat="1" hidden="1" outlineLevel="2" x14ac:dyDescent="0.3">
      <c r="A149" s="27"/>
      <c r="B149" s="11" t="str">
        <f>CONCATENATE("          ", "6381", " - ", "BANK/CREDIT CARD FEES")</f>
        <v xml:space="preserve">          6381 - BANK/CREDIT CARD FEES</v>
      </c>
      <c r="C149" s="11"/>
      <c r="D149" s="7">
        <v>12256.54</v>
      </c>
      <c r="E149" s="2"/>
      <c r="F149" s="6">
        <f t="shared" si="49"/>
        <v>1.6221920495206307E-2</v>
      </c>
      <c r="G149" s="2"/>
      <c r="H149" s="7">
        <v>14947.88</v>
      </c>
      <c r="I149" s="2"/>
      <c r="J149" s="6">
        <f t="shared" si="50"/>
        <v>1.2680335167667518E-2</v>
      </c>
      <c r="K149" s="2"/>
      <c r="L149" s="7">
        <f t="shared" si="51"/>
        <v>-2691.3399999999983</v>
      </c>
      <c r="M149" s="2"/>
      <c r="N149" s="6">
        <f t="shared" si="52"/>
        <v>-0.18004827440412946</v>
      </c>
      <c r="O149" s="11"/>
      <c r="P149" s="7">
        <v>79623.13</v>
      </c>
      <c r="Q149" s="2"/>
      <c r="R149" s="6">
        <f t="shared" si="53"/>
        <v>1.8027805372508629E-2</v>
      </c>
      <c r="S149" s="2"/>
      <c r="T149" s="7">
        <v>61744.66</v>
      </c>
      <c r="U149" s="2"/>
      <c r="V149" s="6">
        <f t="shared" si="54"/>
        <v>1.5924085385661025E-2</v>
      </c>
      <c r="W149" s="2"/>
      <c r="X149" s="7">
        <f t="shared" si="55"/>
        <v>17878.47</v>
      </c>
      <c r="Y149" s="2"/>
      <c r="Z149" s="6">
        <f t="shared" si="56"/>
        <v>0.28955491859538945</v>
      </c>
    </row>
    <row r="150" spans="1:26" s="29" customFormat="1" outlineLevel="1" collapsed="1" x14ac:dyDescent="0.3">
      <c r="A150" s="28"/>
      <c r="B150" s="14" t="str">
        <f>CONCATENATE("     ","Depreciation                                      ")</f>
        <v xml:space="preserve">     Depreciation                                      </v>
      </c>
      <c r="C150" s="14"/>
      <c r="D150" s="1">
        <f>SUM(OSRRefD22_5x_0)</f>
        <v>28349.93</v>
      </c>
      <c r="E150" s="1"/>
      <c r="F150" s="5">
        <f t="shared" si="49"/>
        <v>3.752203399202908E-2</v>
      </c>
      <c r="G150" s="1"/>
      <c r="H150" s="1">
        <f>SUM(OSRRefH22_5x_0)</f>
        <v>30735.85</v>
      </c>
      <c r="I150" s="1"/>
      <c r="J150" s="5">
        <f t="shared" si="50"/>
        <v>2.6073321411675347E-2</v>
      </c>
      <c r="K150" s="1"/>
      <c r="L150" s="1">
        <f t="shared" si="51"/>
        <v>-2385.9199999999983</v>
      </c>
      <c r="M150" s="1"/>
      <c r="N150" s="5">
        <f t="shared" si="52"/>
        <v>-7.7626615174136993E-2</v>
      </c>
      <c r="O150" s="14"/>
      <c r="P150" s="1">
        <f>SUM(OSRRefP22_5x_0)</f>
        <v>212356.52000000002</v>
      </c>
      <c r="Q150" s="1"/>
      <c r="R150" s="5">
        <f t="shared" si="53"/>
        <v>4.8080526502075921E-2</v>
      </c>
      <c r="S150" s="1"/>
      <c r="T150" s="1">
        <f>SUM(OSRRefT22_5x_0)</f>
        <v>215446.44</v>
      </c>
      <c r="U150" s="1"/>
      <c r="V150" s="5">
        <f t="shared" si="54"/>
        <v>5.55641169065745E-2</v>
      </c>
      <c r="W150" s="1"/>
      <c r="X150" s="1">
        <f t="shared" si="55"/>
        <v>-3089.9199999999837</v>
      </c>
      <c r="Y150" s="1"/>
      <c r="Z150" s="5">
        <f t="shared" si="56"/>
        <v>-1.4341940391310173E-2</v>
      </c>
    </row>
    <row r="151" spans="1:26" s="24" customFormat="1" hidden="1" outlineLevel="2" x14ac:dyDescent="0.3">
      <c r="A151" s="27"/>
      <c r="B151" s="11" t="str">
        <f>CONCATENATE("          ", "6321", " - ", "BUILDING DEPRECIATION")</f>
        <v xml:space="preserve">          6321 - BUILDING DEPRECIATION</v>
      </c>
      <c r="C151" s="11"/>
      <c r="D151" s="7">
        <v>14131.6</v>
      </c>
      <c r="E151" s="2"/>
      <c r="F151" s="6">
        <f t="shared" si="49"/>
        <v>1.8703622039340419E-2</v>
      </c>
      <c r="G151" s="2"/>
      <c r="H151" s="7">
        <v>16396.52</v>
      </c>
      <c r="I151" s="2"/>
      <c r="J151" s="6">
        <f t="shared" si="50"/>
        <v>1.3909221186105577E-2</v>
      </c>
      <c r="K151" s="2"/>
      <c r="L151" s="7">
        <f t="shared" si="51"/>
        <v>-2264.92</v>
      </c>
      <c r="M151" s="2"/>
      <c r="N151" s="6">
        <f t="shared" si="52"/>
        <v>-0.13813418944995645</v>
      </c>
      <c r="O151" s="11"/>
      <c r="P151" s="7">
        <v>112510.71</v>
      </c>
      <c r="Q151" s="2"/>
      <c r="R151" s="6">
        <f t="shared" si="53"/>
        <v>2.5474019700089161E-2</v>
      </c>
      <c r="S151" s="2"/>
      <c r="T151" s="7">
        <v>114775.64</v>
      </c>
      <c r="U151" s="2"/>
      <c r="V151" s="6">
        <f t="shared" si="54"/>
        <v>2.9600893284599684E-2</v>
      </c>
      <c r="W151" s="2"/>
      <c r="X151" s="7">
        <f t="shared" si="55"/>
        <v>-2264.929999999993</v>
      </c>
      <c r="Y151" s="2"/>
      <c r="Z151" s="6">
        <f t="shared" si="56"/>
        <v>-1.973354276220976E-2</v>
      </c>
    </row>
    <row r="152" spans="1:26" s="24" customFormat="1" hidden="1" outlineLevel="2" x14ac:dyDescent="0.3">
      <c r="A152" s="27"/>
      <c r="B152" s="11" t="str">
        <f>CONCATENATE("          ", "6322", " - ", "EQUIPMENT DEPRECIATION EXPENSE")</f>
        <v xml:space="preserve">          6322 - EQUIPMENT DEPRECIATION EXPENSE</v>
      </c>
      <c r="C152" s="11"/>
      <c r="D152" s="7">
        <v>14218.33</v>
      </c>
      <c r="E152" s="2"/>
      <c r="F152" s="6">
        <f t="shared" si="49"/>
        <v>1.8818411952688661E-2</v>
      </c>
      <c r="G152" s="2"/>
      <c r="H152" s="7">
        <v>14339.33</v>
      </c>
      <c r="I152" s="2"/>
      <c r="J152" s="6">
        <f t="shared" si="50"/>
        <v>1.2164100225569772E-2</v>
      </c>
      <c r="K152" s="2"/>
      <c r="L152" s="7">
        <f t="shared" si="51"/>
        <v>-121</v>
      </c>
      <c r="M152" s="2"/>
      <c r="N152" s="6">
        <f t="shared" si="52"/>
        <v>-8.4383301032893449E-3</v>
      </c>
      <c r="O152" s="11"/>
      <c r="P152" s="7">
        <v>99845.81</v>
      </c>
      <c r="Q152" s="2"/>
      <c r="R152" s="6">
        <f t="shared" si="53"/>
        <v>2.2606506801986757E-2</v>
      </c>
      <c r="S152" s="2"/>
      <c r="T152" s="7">
        <v>100670.8</v>
      </c>
      <c r="U152" s="2"/>
      <c r="V152" s="6">
        <f t="shared" si="54"/>
        <v>2.5963223621974819E-2</v>
      </c>
      <c r="W152" s="2"/>
      <c r="X152" s="7">
        <f t="shared" si="55"/>
        <v>-824.99000000000524</v>
      </c>
      <c r="Y152" s="2"/>
      <c r="Z152" s="6">
        <f t="shared" si="56"/>
        <v>-8.194928420157635E-3</v>
      </c>
    </row>
    <row r="153" spans="1:26" s="29" customFormat="1" outlineLevel="1" collapsed="1" x14ac:dyDescent="0.3">
      <c r="A153" s="28"/>
      <c r="B153" s="14" t="str">
        <f>CONCATENATE("     ","Discounts and Markdowns                           ")</f>
        <v xml:space="preserve">     Discounts and Markdowns                           </v>
      </c>
      <c r="C153" s="14"/>
      <c r="D153" s="1">
        <f>SUM(OSRRefD22_6x_0)</f>
        <v>-1290.25</v>
      </c>
      <c r="E153" s="1"/>
      <c r="F153" s="5">
        <f t="shared" ref="F153:F155" si="57">IF(D$12=0,0,D153/D$12)</f>
        <v>-1.7076869099223709E-3</v>
      </c>
      <c r="G153" s="1"/>
      <c r="H153" s="1">
        <f>SUM(OSRRefH22_6x_0)</f>
        <v>-42.86</v>
      </c>
      <c r="I153" s="1"/>
      <c r="J153" s="5">
        <f t="shared" ref="J153:J155" si="58">IF(H$12=0,0,H153/H$12)</f>
        <v>-3.6358277246420889E-5</v>
      </c>
      <c r="K153" s="1"/>
      <c r="L153" s="1">
        <f t="shared" ref="L153:L155" si="59">+D153-H153</f>
        <v>-1247.3900000000001</v>
      </c>
      <c r="M153" s="1"/>
      <c r="N153" s="5">
        <f t="shared" ref="N153:N155" si="60">IF(H153=0,0,L153/H153)</f>
        <v>29.103826411572566</v>
      </c>
      <c r="O153" s="14"/>
      <c r="P153" s="1">
        <f>SUM(OSRRefP22_6x_0)</f>
        <v>2064.5499999999997</v>
      </c>
      <c r="Q153" s="1"/>
      <c r="R153" s="5">
        <f t="shared" ref="R153:R155" si="61">IF(P$12=0,0,P153/P$12)</f>
        <v>4.6744338713904722E-4</v>
      </c>
      <c r="S153" s="1"/>
      <c r="T153" s="1">
        <f>SUM(OSRRefT22_6x_0)</f>
        <v>-42.86</v>
      </c>
      <c r="U153" s="1"/>
      <c r="V153" s="5">
        <f t="shared" ref="V153:V155" si="62">IF(T$12=0,0,T153/T$12)</f>
        <v>-1.1053689495244308E-5</v>
      </c>
      <c r="W153" s="1"/>
      <c r="X153" s="1">
        <f t="shared" ref="X153:X155" si="63">+P153-T153</f>
        <v>2107.41</v>
      </c>
      <c r="Y153" s="1"/>
      <c r="Z153" s="5">
        <f t="shared" ref="Z153:Z155" si="64">IF(T153=0,0,X153/T153)</f>
        <v>-49.169622025198315</v>
      </c>
    </row>
    <row r="154" spans="1:26" s="24" customFormat="1" hidden="1" outlineLevel="2" x14ac:dyDescent="0.3">
      <c r="A154" s="27"/>
      <c r="B154" s="11" t="str">
        <f>CONCATENATE("          ", "6382", " - ", "DISCOUNTS/MARK DOWNS")</f>
        <v xml:space="preserve">          6382 - DISCOUNTS/MARK DOWNS</v>
      </c>
      <c r="C154" s="11"/>
      <c r="D154" s="7">
        <v>-1238.6500000000001</v>
      </c>
      <c r="E154" s="2"/>
      <c r="F154" s="6">
        <f t="shared" si="57"/>
        <v>-1.6393926688435148E-3</v>
      </c>
      <c r="G154" s="2"/>
      <c r="H154" s="7">
        <v>0</v>
      </c>
      <c r="I154" s="2"/>
      <c r="J154" s="6">
        <f t="shared" si="58"/>
        <v>0</v>
      </c>
      <c r="K154" s="2"/>
      <c r="L154" s="7">
        <f t="shared" si="59"/>
        <v>-1238.6500000000001</v>
      </c>
      <c r="M154" s="2"/>
      <c r="N154" s="6">
        <f t="shared" si="60"/>
        <v>0</v>
      </c>
      <c r="O154" s="11"/>
      <c r="P154" s="7">
        <v>2171.35</v>
      </c>
      <c r="Q154" s="2"/>
      <c r="R154" s="6">
        <f t="shared" si="61"/>
        <v>4.9162442113989506E-4</v>
      </c>
      <c r="S154" s="2"/>
      <c r="T154" s="7">
        <v>0</v>
      </c>
      <c r="U154" s="2"/>
      <c r="V154" s="6">
        <f t="shared" si="62"/>
        <v>0</v>
      </c>
      <c r="W154" s="2"/>
      <c r="X154" s="7">
        <f t="shared" si="63"/>
        <v>2171.35</v>
      </c>
      <c r="Y154" s="2"/>
      <c r="Z154" s="6">
        <f t="shared" si="64"/>
        <v>0</v>
      </c>
    </row>
    <row r="155" spans="1:26" s="24" customFormat="1" hidden="1" outlineLevel="2" x14ac:dyDescent="0.3">
      <c r="A155" s="27"/>
      <c r="B155" s="11" t="str">
        <f>CONCATENATE("          ", "9175", " - ", "EARNED DISCOUNTS")</f>
        <v xml:space="preserve">          9175 - EARNED DISCOUNTS</v>
      </c>
      <c r="C155" s="11"/>
      <c r="D155" s="7">
        <v>-51.6</v>
      </c>
      <c r="E155" s="2"/>
      <c r="F155" s="6">
        <f t="shared" si="57"/>
        <v>-6.8294241078856294E-5</v>
      </c>
      <c r="G155" s="2"/>
      <c r="H155" s="7">
        <v>-42.86</v>
      </c>
      <c r="I155" s="2"/>
      <c r="J155" s="6">
        <f t="shared" si="58"/>
        <v>-3.6358277246420889E-5</v>
      </c>
      <c r="K155" s="2"/>
      <c r="L155" s="7">
        <f t="shared" si="59"/>
        <v>-8.740000000000002</v>
      </c>
      <c r="M155" s="2"/>
      <c r="N155" s="6">
        <f t="shared" si="60"/>
        <v>0.20391973868408778</v>
      </c>
      <c r="O155" s="11"/>
      <c r="P155" s="7">
        <v>-106.8</v>
      </c>
      <c r="Q155" s="2"/>
      <c r="R155" s="6">
        <f t="shared" si="61"/>
        <v>-2.4181034000847762E-5</v>
      </c>
      <c r="S155" s="2"/>
      <c r="T155" s="7">
        <v>-42.86</v>
      </c>
      <c r="U155" s="2"/>
      <c r="V155" s="6">
        <f t="shared" si="62"/>
        <v>-1.1053689495244308E-5</v>
      </c>
      <c r="W155" s="2"/>
      <c r="X155" s="7">
        <f t="shared" si="63"/>
        <v>-63.94</v>
      </c>
      <c r="Y155" s="2"/>
      <c r="Z155" s="6">
        <f t="shared" si="64"/>
        <v>1.4918338777414839</v>
      </c>
    </row>
    <row r="156" spans="1:26" s="29" customFormat="1" outlineLevel="1" collapsed="1" x14ac:dyDescent="0.3">
      <c r="A156" s="28"/>
      <c r="B156" s="14" t="str">
        <f>CONCATENATE("     ","Donations                                         ")</f>
        <v xml:space="preserve">     Donations                                         </v>
      </c>
      <c r="C156" s="14"/>
      <c r="D156" s="1">
        <f>SUM(OSRRefD22_7x_0)</f>
        <v>0</v>
      </c>
      <c r="E156" s="1"/>
      <c r="F156" s="5">
        <f t="shared" ref="F156:F164" si="65">IF(D$12=0,0,D156/D$12)</f>
        <v>0</v>
      </c>
      <c r="G156" s="1"/>
      <c r="H156" s="1">
        <f>SUM(OSRRefH22_7x_0)</f>
        <v>0</v>
      </c>
      <c r="I156" s="1"/>
      <c r="J156" s="5">
        <f t="shared" ref="J156:J164" si="66">IF(H$12=0,0,H156/H$12)</f>
        <v>0</v>
      </c>
      <c r="K156" s="1"/>
      <c r="L156" s="1">
        <f t="shared" ref="L156:L164" si="67">+D156-H156</f>
        <v>0</v>
      </c>
      <c r="M156" s="1"/>
      <c r="N156" s="5">
        <f t="shared" ref="N156:N164" si="68">IF(H156=0,0,L156/H156)</f>
        <v>0</v>
      </c>
      <c r="O156" s="14"/>
      <c r="P156" s="1">
        <f>SUM(OSRRefP22_7x_0)</f>
        <v>2820.22</v>
      </c>
      <c r="Q156" s="1"/>
      <c r="R156" s="5">
        <f t="shared" ref="R156:R164" si="69">IF(P$12=0,0,P156/P$12)</f>
        <v>6.385377875456074E-4</v>
      </c>
      <c r="S156" s="1"/>
      <c r="T156" s="1">
        <f>SUM(OSRRefT22_7x_0)</f>
        <v>0</v>
      </c>
      <c r="U156" s="1"/>
      <c r="V156" s="5">
        <f t="shared" ref="V156:V164" si="70">IF(T$12=0,0,T156/T$12)</f>
        <v>0</v>
      </c>
      <c r="W156" s="1"/>
      <c r="X156" s="1">
        <f t="shared" ref="X156:X164" si="71">+P156-T156</f>
        <v>2820.22</v>
      </c>
      <c r="Y156" s="1"/>
      <c r="Z156" s="5">
        <f t="shared" ref="Z156:Z164" si="72">IF(T156=0,0,X156/T156)</f>
        <v>0</v>
      </c>
    </row>
    <row r="157" spans="1:26" s="24" customFormat="1" hidden="1" outlineLevel="2" x14ac:dyDescent="0.3">
      <c r="A157" s="27"/>
      <c r="B157" s="11" t="str">
        <f>CONCATENATE("          ", "6399", " - ", "DONATION-ON CAMPUS")</f>
        <v xml:space="preserve">          6399 - DONATION-ON CAMPUS</v>
      </c>
      <c r="C157" s="11"/>
      <c r="D157" s="7"/>
      <c r="E157" s="2"/>
      <c r="F157" s="6">
        <f t="shared" si="65"/>
        <v>0</v>
      </c>
      <c r="G157" s="2"/>
      <c r="H157" s="7"/>
      <c r="I157" s="2"/>
      <c r="J157" s="6">
        <f t="shared" si="66"/>
        <v>0</v>
      </c>
      <c r="K157" s="2"/>
      <c r="L157" s="7">
        <f t="shared" si="67"/>
        <v>0</v>
      </c>
      <c r="M157" s="2"/>
      <c r="N157" s="6">
        <f t="shared" si="68"/>
        <v>0</v>
      </c>
      <c r="O157" s="11"/>
      <c r="P157" s="7">
        <v>2820.22</v>
      </c>
      <c r="Q157" s="2"/>
      <c r="R157" s="6">
        <f t="shared" si="69"/>
        <v>6.385377875456074E-4</v>
      </c>
      <c r="S157" s="2"/>
      <c r="T157" s="7"/>
      <c r="U157" s="2"/>
      <c r="V157" s="6">
        <f t="shared" si="70"/>
        <v>0</v>
      </c>
      <c r="W157" s="2"/>
      <c r="X157" s="7">
        <f t="shared" si="71"/>
        <v>2820.22</v>
      </c>
      <c r="Y157" s="2"/>
      <c r="Z157" s="6">
        <f t="shared" si="72"/>
        <v>0</v>
      </c>
    </row>
    <row r="158" spans="1:26" s="29" customFormat="1" outlineLevel="1" collapsed="1" x14ac:dyDescent="0.3">
      <c r="A158" s="28"/>
      <c r="B158" s="14" t="str">
        <f>CONCATENATE("     ","Employees' Appreciation                           ")</f>
        <v xml:space="preserve">     Employees' Appreciation                           </v>
      </c>
      <c r="C158" s="14"/>
      <c r="D158" s="1">
        <f>SUM(OSRRefD22_8x_0)</f>
        <v>1421.38</v>
      </c>
      <c r="E158" s="1"/>
      <c r="F158" s="5">
        <f t="shared" si="65"/>
        <v>1.8812416353617203E-3</v>
      </c>
      <c r="G158" s="1"/>
      <c r="H158" s="1">
        <f>SUM(OSRRefH22_8x_0)</f>
        <v>78.33</v>
      </c>
      <c r="I158" s="1"/>
      <c r="J158" s="5">
        <f t="shared" si="66"/>
        <v>6.6447593483717882E-5</v>
      </c>
      <c r="K158" s="1"/>
      <c r="L158" s="1">
        <f t="shared" si="67"/>
        <v>1343.0500000000002</v>
      </c>
      <c r="M158" s="1"/>
      <c r="N158" s="5">
        <f t="shared" si="68"/>
        <v>17.146048768032685</v>
      </c>
      <c r="O158" s="14"/>
      <c r="P158" s="1">
        <f>SUM(OSRRefP22_8x_0)</f>
        <v>4245.1899999999996</v>
      </c>
      <c r="Q158" s="1"/>
      <c r="R158" s="5">
        <f t="shared" si="69"/>
        <v>9.6117119597433434E-4</v>
      </c>
      <c r="S158" s="1"/>
      <c r="T158" s="1">
        <f>SUM(OSRRefT22_8x_0)</f>
        <v>186.03</v>
      </c>
      <c r="U158" s="1"/>
      <c r="V158" s="5">
        <f t="shared" si="70"/>
        <v>4.7977551488574396E-5</v>
      </c>
      <c r="W158" s="1"/>
      <c r="X158" s="1">
        <f t="shared" si="71"/>
        <v>4059.1599999999994</v>
      </c>
      <c r="Y158" s="1"/>
      <c r="Z158" s="5">
        <f t="shared" si="72"/>
        <v>21.819921518034722</v>
      </c>
    </row>
    <row r="159" spans="1:26" s="24" customFormat="1" hidden="1" outlineLevel="2" x14ac:dyDescent="0.3">
      <c r="A159" s="27"/>
      <c r="B159" s="11" t="str">
        <f>CONCATENATE("          ", "6277", " - ", "EMPLOYEE APPRECIATION")</f>
        <v xml:space="preserve">          6277 - EMPLOYEE APPRECIATION</v>
      </c>
      <c r="C159" s="11"/>
      <c r="D159" s="7">
        <v>1421.38</v>
      </c>
      <c r="E159" s="2"/>
      <c r="F159" s="6">
        <f t="shared" si="65"/>
        <v>1.8812416353617203E-3</v>
      </c>
      <c r="G159" s="2"/>
      <c r="H159" s="7">
        <v>78.33</v>
      </c>
      <c r="I159" s="2"/>
      <c r="J159" s="6">
        <f t="shared" si="66"/>
        <v>6.6447593483717882E-5</v>
      </c>
      <c r="K159" s="2"/>
      <c r="L159" s="7">
        <f t="shared" si="67"/>
        <v>1343.0500000000002</v>
      </c>
      <c r="M159" s="2"/>
      <c r="N159" s="6">
        <f t="shared" si="68"/>
        <v>17.146048768032685</v>
      </c>
      <c r="O159" s="11"/>
      <c r="P159" s="7">
        <v>4245.1899999999996</v>
      </c>
      <c r="Q159" s="2"/>
      <c r="R159" s="6">
        <f t="shared" si="69"/>
        <v>9.6117119597433434E-4</v>
      </c>
      <c r="S159" s="2"/>
      <c r="T159" s="7">
        <v>186.03</v>
      </c>
      <c r="U159" s="2"/>
      <c r="V159" s="6">
        <f t="shared" si="70"/>
        <v>4.7977551488574396E-5</v>
      </c>
      <c r="W159" s="2"/>
      <c r="X159" s="7">
        <f t="shared" si="71"/>
        <v>4059.1599999999994</v>
      </c>
      <c r="Y159" s="2"/>
      <c r="Z159" s="6">
        <f t="shared" si="72"/>
        <v>21.819921518034722</v>
      </c>
    </row>
    <row r="160" spans="1:26" s="29" customFormat="1" outlineLevel="1" collapsed="1" x14ac:dyDescent="0.3">
      <c r="A160" s="28"/>
      <c r="B160" s="14" t="str">
        <f>CONCATENATE("     ","Equipment Rental                                  ")</f>
        <v xml:space="preserve">     Equipment Rental                                  </v>
      </c>
      <c r="C160" s="14"/>
      <c r="D160" s="1">
        <f>SUM(OSRRefD22_9x_0)</f>
        <v>1479.42</v>
      </c>
      <c r="E160" s="1"/>
      <c r="F160" s="5">
        <f t="shared" si="65"/>
        <v>1.9580594212573951E-3</v>
      </c>
      <c r="G160" s="1"/>
      <c r="H160" s="1">
        <f>SUM(OSRRefH22_9x_0)</f>
        <v>1388.16</v>
      </c>
      <c r="I160" s="1"/>
      <c r="J160" s="5">
        <f t="shared" si="66"/>
        <v>1.1775806379466082E-3</v>
      </c>
      <c r="K160" s="1"/>
      <c r="L160" s="1">
        <f t="shared" si="67"/>
        <v>91.259999999999991</v>
      </c>
      <c r="M160" s="1"/>
      <c r="N160" s="5">
        <f t="shared" si="68"/>
        <v>6.5741701244813266E-2</v>
      </c>
      <c r="O160" s="14"/>
      <c r="P160" s="1">
        <f>SUM(OSRRefP22_9x_0)</f>
        <v>11309.94</v>
      </c>
      <c r="Q160" s="1"/>
      <c r="R160" s="5">
        <f t="shared" si="69"/>
        <v>2.5607307461380912E-3</v>
      </c>
      <c r="S160" s="1"/>
      <c r="T160" s="1">
        <f>SUM(OSRRefT22_9x_0)</f>
        <v>10364.9</v>
      </c>
      <c r="U160" s="1"/>
      <c r="V160" s="5">
        <f t="shared" si="70"/>
        <v>2.6731308037624296E-3</v>
      </c>
      <c r="W160" s="1"/>
      <c r="X160" s="1">
        <f t="shared" si="71"/>
        <v>945.04000000000087</v>
      </c>
      <c r="Y160" s="1"/>
      <c r="Z160" s="5">
        <f t="shared" si="72"/>
        <v>9.1176952985557114E-2</v>
      </c>
    </row>
    <row r="161" spans="1:26" s="24" customFormat="1" hidden="1" outlineLevel="2" x14ac:dyDescent="0.3">
      <c r="A161" s="27"/>
      <c r="B161" s="11" t="str">
        <f>CONCATENATE("          ", "6351", " - ", "EQUIPMENT RENTAL")</f>
        <v xml:space="preserve">          6351 - EQUIPMENT RENTAL</v>
      </c>
      <c r="C161" s="11"/>
      <c r="D161" s="7">
        <v>1479.42</v>
      </c>
      <c r="E161" s="2"/>
      <c r="F161" s="6">
        <f t="shared" si="65"/>
        <v>1.9580594212573951E-3</v>
      </c>
      <c r="G161" s="2"/>
      <c r="H161" s="7">
        <v>1388.16</v>
      </c>
      <c r="I161" s="2"/>
      <c r="J161" s="6">
        <f t="shared" si="66"/>
        <v>1.1775806379466082E-3</v>
      </c>
      <c r="K161" s="2"/>
      <c r="L161" s="7">
        <f t="shared" si="67"/>
        <v>91.259999999999991</v>
      </c>
      <c r="M161" s="2"/>
      <c r="N161" s="6">
        <f t="shared" si="68"/>
        <v>6.5741701244813266E-2</v>
      </c>
      <c r="O161" s="11"/>
      <c r="P161" s="7">
        <v>11309.94</v>
      </c>
      <c r="Q161" s="2"/>
      <c r="R161" s="6">
        <f t="shared" si="69"/>
        <v>2.5607307461380912E-3</v>
      </c>
      <c r="S161" s="2"/>
      <c r="T161" s="7">
        <v>10364.9</v>
      </c>
      <c r="U161" s="2"/>
      <c r="V161" s="6">
        <f t="shared" si="70"/>
        <v>2.6731308037624296E-3</v>
      </c>
      <c r="W161" s="2"/>
      <c r="X161" s="7">
        <f t="shared" si="71"/>
        <v>945.04000000000087</v>
      </c>
      <c r="Y161" s="2"/>
      <c r="Z161" s="6">
        <f t="shared" si="72"/>
        <v>9.1176952985557114E-2</v>
      </c>
    </row>
    <row r="162" spans="1:26" s="29" customFormat="1" outlineLevel="1" collapsed="1" x14ac:dyDescent="0.3">
      <c r="A162" s="28"/>
      <c r="B162" s="14" t="str">
        <f>CONCATENATE("     ","Freight out/Postage                               ")</f>
        <v xml:space="preserve">     Freight out/Postage                               </v>
      </c>
      <c r="C162" s="14"/>
      <c r="D162" s="1">
        <f>SUM(OSRRefD22_10x_0)</f>
        <v>-7280.8900000000012</v>
      </c>
      <c r="E162" s="1"/>
      <c r="F162" s="5">
        <f t="shared" si="65"/>
        <v>-9.636489475361127E-3</v>
      </c>
      <c r="G162" s="1"/>
      <c r="H162" s="1">
        <f>SUM(OSRRefH22_10x_0)</f>
        <v>-21770.530000000002</v>
      </c>
      <c r="I162" s="1"/>
      <c r="J162" s="5">
        <f t="shared" si="66"/>
        <v>-1.8468011328546977E-2</v>
      </c>
      <c r="K162" s="1"/>
      <c r="L162" s="1">
        <f t="shared" si="67"/>
        <v>14489.640000000001</v>
      </c>
      <c r="M162" s="1"/>
      <c r="N162" s="5">
        <f t="shared" si="68"/>
        <v>-0.66556211539177046</v>
      </c>
      <c r="O162" s="14"/>
      <c r="P162" s="1">
        <f>SUM(OSRRefP22_10x_0)</f>
        <v>-39448.099999999991</v>
      </c>
      <c r="Q162" s="1"/>
      <c r="R162" s="5">
        <f t="shared" si="69"/>
        <v>-8.9316090577606973E-3</v>
      </c>
      <c r="S162" s="1"/>
      <c r="T162" s="1">
        <f>SUM(OSRRefT22_10x_0)</f>
        <v>-36819.389999999985</v>
      </c>
      <c r="U162" s="1"/>
      <c r="V162" s="5">
        <f t="shared" si="70"/>
        <v>-9.495802717319252E-3</v>
      </c>
      <c r="W162" s="1"/>
      <c r="X162" s="1">
        <f t="shared" si="71"/>
        <v>-2628.7100000000064</v>
      </c>
      <c r="Y162" s="1"/>
      <c r="Z162" s="5">
        <f t="shared" si="72"/>
        <v>7.1394718923915024E-2</v>
      </c>
    </row>
    <row r="163" spans="1:26" s="24" customFormat="1" hidden="1" outlineLevel="2" x14ac:dyDescent="0.3">
      <c r="A163" s="27"/>
      <c r="B163" s="11" t="str">
        <f>CONCATENATE("          ", "6305", " - ", "FREIGHT OUT")</f>
        <v xml:space="preserve">          6305 - FREIGHT OUT</v>
      </c>
      <c r="C163" s="11"/>
      <c r="D163" s="7">
        <v>16037.19</v>
      </c>
      <c r="E163" s="2"/>
      <c r="F163" s="6">
        <f t="shared" si="65"/>
        <v>2.1225731009446192E-2</v>
      </c>
      <c r="G163" s="2"/>
      <c r="H163" s="7">
        <v>18715.689999999999</v>
      </c>
      <c r="I163" s="2"/>
      <c r="J163" s="6">
        <f t="shared" si="66"/>
        <v>1.5876580631779443E-2</v>
      </c>
      <c r="K163" s="2"/>
      <c r="L163" s="7">
        <f t="shared" si="67"/>
        <v>-2678.4999999999982</v>
      </c>
      <c r="M163" s="2"/>
      <c r="N163" s="6">
        <f t="shared" si="68"/>
        <v>-0.14311521509492828</v>
      </c>
      <c r="O163" s="11"/>
      <c r="P163" s="7">
        <v>94136.45</v>
      </c>
      <c r="Q163" s="2"/>
      <c r="R163" s="6">
        <f t="shared" si="69"/>
        <v>2.1313826761883009E-2</v>
      </c>
      <c r="S163" s="2"/>
      <c r="T163" s="7">
        <v>135489.20000000001</v>
      </c>
      <c r="U163" s="2"/>
      <c r="V163" s="6">
        <f t="shared" si="70"/>
        <v>3.4942966559940628E-2</v>
      </c>
      <c r="W163" s="2"/>
      <c r="X163" s="7">
        <f t="shared" si="71"/>
        <v>-41352.750000000015</v>
      </c>
      <c r="Y163" s="2"/>
      <c r="Z163" s="6">
        <f t="shared" si="72"/>
        <v>-0.30521067361826631</v>
      </c>
    </row>
    <row r="164" spans="1:26" s="24" customFormat="1" hidden="1" outlineLevel="2" x14ac:dyDescent="0.3">
      <c r="A164" s="27"/>
      <c r="B164" s="11" t="str">
        <f>CONCATENATE("          ", "6307", " - ", "POSTAGE")</f>
        <v xml:space="preserve">          6307 - POSTAGE</v>
      </c>
      <c r="C164" s="11"/>
      <c r="D164" s="7">
        <v>-23318.080000000002</v>
      </c>
      <c r="E164" s="2"/>
      <c r="F164" s="6">
        <f t="shared" si="65"/>
        <v>-3.0862220484807319E-2</v>
      </c>
      <c r="G164" s="2"/>
      <c r="H164" s="7">
        <v>-40486.22</v>
      </c>
      <c r="I164" s="2"/>
      <c r="J164" s="6">
        <f t="shared" si="66"/>
        <v>-3.4344591960326416E-2</v>
      </c>
      <c r="K164" s="2"/>
      <c r="L164" s="7">
        <f t="shared" si="67"/>
        <v>17168.14</v>
      </c>
      <c r="M164" s="2"/>
      <c r="N164" s="6">
        <f t="shared" si="68"/>
        <v>-0.42404897271219688</v>
      </c>
      <c r="O164" s="11"/>
      <c r="P164" s="7">
        <v>-133584.54999999999</v>
      </c>
      <c r="Q164" s="2"/>
      <c r="R164" s="6">
        <f t="shared" si="69"/>
        <v>-3.0245435819643705E-2</v>
      </c>
      <c r="S164" s="2"/>
      <c r="T164" s="7">
        <v>-172308.59</v>
      </c>
      <c r="U164" s="2"/>
      <c r="V164" s="6">
        <f t="shared" si="70"/>
        <v>-4.4438769277259878E-2</v>
      </c>
      <c r="W164" s="2"/>
      <c r="X164" s="7">
        <f t="shared" si="71"/>
        <v>38724.040000000008</v>
      </c>
      <c r="Y164" s="2"/>
      <c r="Z164" s="6">
        <f t="shared" si="72"/>
        <v>-0.22473656130550432</v>
      </c>
    </row>
    <row r="165" spans="1:26" s="29" customFormat="1" outlineLevel="1" collapsed="1" x14ac:dyDescent="0.3">
      <c r="A165" s="28"/>
      <c r="B165" s="14" t="str">
        <f>CONCATENATE("     ","General                                           ")</f>
        <v xml:space="preserve">     General                                           </v>
      </c>
      <c r="C165" s="14"/>
      <c r="D165" s="1">
        <f>SUM(OSRRefD22_11x_0)</f>
        <v>0</v>
      </c>
      <c r="E165" s="1"/>
      <c r="F165" s="5">
        <f t="shared" ref="F165:F171" si="73">IF(D$12=0,0,D165/D$12)</f>
        <v>0</v>
      </c>
      <c r="G165" s="1"/>
      <c r="H165" s="1">
        <f>SUM(OSRRefH22_11x_0)</f>
        <v>223.63</v>
      </c>
      <c r="I165" s="1"/>
      <c r="J165" s="5">
        <f t="shared" ref="J165:J171" si="74">IF(H$12=0,0,H165/H$12)</f>
        <v>1.8970605554402946E-4</v>
      </c>
      <c r="K165" s="1"/>
      <c r="L165" s="1">
        <f t="shared" ref="L165:L171" si="75">+D165-H165</f>
        <v>-223.63</v>
      </c>
      <c r="M165" s="1"/>
      <c r="N165" s="5">
        <f t="shared" ref="N165:N171" si="76">IF(H165=0,0,L165/H165)</f>
        <v>-1</v>
      </c>
      <c r="O165" s="14"/>
      <c r="P165" s="1">
        <f>SUM(OSRRefP22_11x_0)</f>
        <v>4331.1899999999996</v>
      </c>
      <c r="Q165" s="1"/>
      <c r="R165" s="5">
        <f t="shared" ref="R165:R171" si="77">IF(P$12=0,0,P165/P$12)</f>
        <v>9.8064281511359369E-4</v>
      </c>
      <c r="S165" s="1"/>
      <c r="T165" s="1">
        <f>SUM(OSRRefT22_11x_0)</f>
        <v>2514</v>
      </c>
      <c r="U165" s="1"/>
      <c r="V165" s="5">
        <f t="shared" ref="V165:V171" si="78">IF(T$12=0,0,T165/T$12)</f>
        <v>6.4836620137760593E-4</v>
      </c>
      <c r="W165" s="1"/>
      <c r="X165" s="1">
        <f t="shared" ref="X165:X171" si="79">+P165-T165</f>
        <v>1817.1899999999996</v>
      </c>
      <c r="Y165" s="1"/>
      <c r="Z165" s="5">
        <f t="shared" ref="Z165:Z171" si="80">IF(T165=0,0,X165/T165)</f>
        <v>0.72282816229116931</v>
      </c>
    </row>
    <row r="166" spans="1:26" s="24" customFormat="1" hidden="1" outlineLevel="2" x14ac:dyDescent="0.3">
      <c r="A166" s="27"/>
      <c r="B166" s="11" t="str">
        <f>CONCATENATE("          ", "6279", " - ", "GENERAL EXPENSE")</f>
        <v xml:space="preserve">          6279 - GENERAL EXPENSE</v>
      </c>
      <c r="C166" s="11"/>
      <c r="D166" s="7"/>
      <c r="E166" s="2"/>
      <c r="F166" s="6">
        <f t="shared" si="73"/>
        <v>0</v>
      </c>
      <c r="G166" s="2"/>
      <c r="H166" s="7">
        <v>223.63</v>
      </c>
      <c r="I166" s="2"/>
      <c r="J166" s="6">
        <f t="shared" si="74"/>
        <v>1.8970605554402946E-4</v>
      </c>
      <c r="K166" s="2"/>
      <c r="L166" s="7">
        <f t="shared" si="75"/>
        <v>-223.63</v>
      </c>
      <c r="M166" s="2"/>
      <c r="N166" s="6">
        <f t="shared" si="76"/>
        <v>-1</v>
      </c>
      <c r="O166" s="11"/>
      <c r="P166" s="7">
        <v>4331.1899999999996</v>
      </c>
      <c r="Q166" s="2"/>
      <c r="R166" s="6">
        <f t="shared" si="77"/>
        <v>9.8064281511359369E-4</v>
      </c>
      <c r="S166" s="2"/>
      <c r="T166" s="7">
        <v>2514</v>
      </c>
      <c r="U166" s="2"/>
      <c r="V166" s="6">
        <f t="shared" si="78"/>
        <v>6.4836620137760593E-4</v>
      </c>
      <c r="W166" s="2"/>
      <c r="X166" s="7">
        <f t="shared" si="79"/>
        <v>1817.1899999999996</v>
      </c>
      <c r="Y166" s="2"/>
      <c r="Z166" s="6">
        <f t="shared" si="80"/>
        <v>0.72282816229116931</v>
      </c>
    </row>
    <row r="167" spans="1:26" s="29" customFormat="1" outlineLevel="1" collapsed="1" x14ac:dyDescent="0.3">
      <c r="A167" s="28"/>
      <c r="B167" s="14" t="str">
        <f>CONCATENATE("     ","Insurance                                         ")</f>
        <v xml:space="preserve">     Insurance                                         </v>
      </c>
      <c r="C167" s="14"/>
      <c r="D167" s="1">
        <f>SUM(OSRRefD22_12x_0)</f>
        <v>5494.57</v>
      </c>
      <c r="E167" s="1"/>
      <c r="F167" s="5">
        <f t="shared" si="73"/>
        <v>7.272238143500997E-3</v>
      </c>
      <c r="G167" s="1"/>
      <c r="H167" s="1">
        <f>SUM(OSRRefH22_12x_0)</f>
        <v>4044.74</v>
      </c>
      <c r="I167" s="1"/>
      <c r="J167" s="5">
        <f t="shared" si="74"/>
        <v>3.4311660828205415E-3</v>
      </c>
      <c r="K167" s="1"/>
      <c r="L167" s="1">
        <f t="shared" si="75"/>
        <v>1449.83</v>
      </c>
      <c r="M167" s="1"/>
      <c r="N167" s="5">
        <f t="shared" si="76"/>
        <v>0.35844825625380122</v>
      </c>
      <c r="O167" s="14"/>
      <c r="P167" s="1">
        <f>SUM(OSRRefP22_12x_0)</f>
        <v>38461.99</v>
      </c>
      <c r="Q167" s="1"/>
      <c r="R167" s="5">
        <f t="shared" si="77"/>
        <v>8.7083397746279649E-3</v>
      </c>
      <c r="S167" s="1"/>
      <c r="T167" s="1">
        <f>SUM(OSRRefT22_12x_0)</f>
        <v>28313.18</v>
      </c>
      <c r="U167" s="1"/>
      <c r="V167" s="5">
        <f t="shared" si="78"/>
        <v>7.3020322058553718E-3</v>
      </c>
      <c r="W167" s="1"/>
      <c r="X167" s="1">
        <f t="shared" si="79"/>
        <v>10148.809999999998</v>
      </c>
      <c r="Y167" s="1"/>
      <c r="Z167" s="5">
        <f t="shared" si="80"/>
        <v>0.35844825625380117</v>
      </c>
    </row>
    <row r="168" spans="1:26" s="24" customFormat="1" hidden="1" outlineLevel="2" x14ac:dyDescent="0.3">
      <c r="A168" s="27"/>
      <c r="B168" s="11" t="str">
        <f>CONCATENATE("          ", "6314", " - ", "LIABILITY INSURANCE")</f>
        <v xml:space="preserve">          6314 - LIABILITY INSURANCE</v>
      </c>
      <c r="C168" s="11"/>
      <c r="D168" s="7">
        <v>5494.57</v>
      </c>
      <c r="E168" s="2"/>
      <c r="F168" s="6">
        <f t="shared" si="73"/>
        <v>7.272238143500997E-3</v>
      </c>
      <c r="G168" s="2"/>
      <c r="H168" s="7">
        <v>4044.74</v>
      </c>
      <c r="I168" s="2"/>
      <c r="J168" s="6">
        <f t="shared" si="74"/>
        <v>3.4311660828205415E-3</v>
      </c>
      <c r="K168" s="2"/>
      <c r="L168" s="7">
        <f t="shared" si="75"/>
        <v>1449.83</v>
      </c>
      <c r="M168" s="2"/>
      <c r="N168" s="6">
        <f t="shared" si="76"/>
        <v>0.35844825625380122</v>
      </c>
      <c r="O168" s="11"/>
      <c r="P168" s="7">
        <v>38461.99</v>
      </c>
      <c r="Q168" s="2"/>
      <c r="R168" s="6">
        <f t="shared" si="77"/>
        <v>8.7083397746279649E-3</v>
      </c>
      <c r="S168" s="2"/>
      <c r="T168" s="7">
        <v>28313.18</v>
      </c>
      <c r="U168" s="2"/>
      <c r="V168" s="6">
        <f t="shared" si="78"/>
        <v>7.3020322058553718E-3</v>
      </c>
      <c r="W168" s="2"/>
      <c r="X168" s="7">
        <f t="shared" si="79"/>
        <v>10148.809999999998</v>
      </c>
      <c r="Y168" s="2"/>
      <c r="Z168" s="6">
        <f t="shared" si="80"/>
        <v>0.35844825625380117</v>
      </c>
    </row>
    <row r="169" spans="1:26" s="29" customFormat="1" outlineLevel="1" collapsed="1" x14ac:dyDescent="0.3">
      <c r="A169" s="28"/>
      <c r="B169" s="14" t="str">
        <f>CONCATENATE("     ","Inventory Adjustment                              ")</f>
        <v xml:space="preserve">     Inventory Adjustment                              </v>
      </c>
      <c r="C169" s="14"/>
      <c r="D169" s="1">
        <f>SUM(OSRRefD22_13x_0)</f>
        <v>5100</v>
      </c>
      <c r="E169" s="1"/>
      <c r="F169" s="5">
        <f t="shared" si="73"/>
        <v>6.7500121996544012E-3</v>
      </c>
      <c r="G169" s="1"/>
      <c r="H169" s="1">
        <f>SUM(OSRRefH22_13x_0)</f>
        <v>2100</v>
      </c>
      <c r="I169" s="1"/>
      <c r="J169" s="5">
        <f t="shared" si="74"/>
        <v>1.7814368226197821E-3</v>
      </c>
      <c r="K169" s="1"/>
      <c r="L169" s="1">
        <f t="shared" si="75"/>
        <v>3000</v>
      </c>
      <c r="M169" s="1"/>
      <c r="N169" s="5">
        <f t="shared" si="76"/>
        <v>1.4285714285714286</v>
      </c>
      <c r="O169" s="14"/>
      <c r="P169" s="1">
        <f>SUM(OSRRefP22_13x_0)</f>
        <v>39700</v>
      </c>
      <c r="Q169" s="1"/>
      <c r="R169" s="5">
        <f t="shared" si="77"/>
        <v>8.9886427887046465E-3</v>
      </c>
      <c r="S169" s="1"/>
      <c r="T169" s="1">
        <f>SUM(OSRRefT22_13x_0)</f>
        <v>19700</v>
      </c>
      <c r="U169" s="1"/>
      <c r="V169" s="5">
        <f t="shared" si="78"/>
        <v>5.0806738930544298E-3</v>
      </c>
      <c r="W169" s="1"/>
      <c r="X169" s="1">
        <f t="shared" si="79"/>
        <v>20000</v>
      </c>
      <c r="Y169" s="1"/>
      <c r="Z169" s="5">
        <f t="shared" si="80"/>
        <v>1.015228426395939</v>
      </c>
    </row>
    <row r="170" spans="1:26" s="24" customFormat="1" hidden="1" outlineLevel="2" x14ac:dyDescent="0.3">
      <c r="A170" s="27"/>
      <c r="B170" s="11" t="str">
        <f>CONCATENATE("          ", "6408", " - ", "INVENTORY ADJUSTMENT")</f>
        <v xml:space="preserve">          6408 - INVENTORY ADJUSTMENT</v>
      </c>
      <c r="C170" s="11"/>
      <c r="D170" s="7">
        <v>5100</v>
      </c>
      <c r="E170" s="2"/>
      <c r="F170" s="6">
        <f t="shared" si="73"/>
        <v>6.7500121996544012E-3</v>
      </c>
      <c r="G170" s="2"/>
      <c r="H170" s="7">
        <v>2100</v>
      </c>
      <c r="I170" s="2"/>
      <c r="J170" s="6">
        <f t="shared" si="74"/>
        <v>1.7814368226197821E-3</v>
      </c>
      <c r="K170" s="2"/>
      <c r="L170" s="7">
        <f t="shared" si="75"/>
        <v>3000</v>
      </c>
      <c r="M170" s="2"/>
      <c r="N170" s="6">
        <f t="shared" si="76"/>
        <v>1.4285714285714286</v>
      </c>
      <c r="O170" s="11"/>
      <c r="P170" s="7">
        <v>39700</v>
      </c>
      <c r="Q170" s="2"/>
      <c r="R170" s="6">
        <f t="shared" si="77"/>
        <v>8.9886427887046465E-3</v>
      </c>
      <c r="S170" s="2"/>
      <c r="T170" s="7">
        <v>19700</v>
      </c>
      <c r="U170" s="2"/>
      <c r="V170" s="6">
        <f t="shared" si="78"/>
        <v>5.0806738930544298E-3</v>
      </c>
      <c r="W170" s="2"/>
      <c r="X170" s="7">
        <f t="shared" si="79"/>
        <v>20000</v>
      </c>
      <c r="Y170" s="2"/>
      <c r="Z170" s="6">
        <f t="shared" si="80"/>
        <v>1.015228426395939</v>
      </c>
    </row>
    <row r="171" spans="1:26" s="24" customFormat="1" hidden="1" outlineLevel="2" x14ac:dyDescent="0.3">
      <c r="A171" s="27"/>
      <c r="B171" s="11" t="str">
        <f>CONCATENATE("          ", "7741", " - ", "INV. SHRINKAGE-LOGO GIFTS")</f>
        <v xml:space="preserve">          7741 - INV. SHRINKAGE-LOGO GIFTS</v>
      </c>
      <c r="C171" s="11"/>
      <c r="D171" s="7"/>
      <c r="E171" s="2"/>
      <c r="F171" s="6">
        <f t="shared" si="73"/>
        <v>0</v>
      </c>
      <c r="G171" s="2"/>
      <c r="H171" s="7"/>
      <c r="I171" s="2"/>
      <c r="J171" s="6">
        <f t="shared" si="74"/>
        <v>0</v>
      </c>
      <c r="K171" s="2"/>
      <c r="L171" s="7">
        <f t="shared" si="75"/>
        <v>0</v>
      </c>
      <c r="M171" s="2"/>
      <c r="N171" s="6">
        <f t="shared" si="76"/>
        <v>0</v>
      </c>
      <c r="O171" s="11"/>
      <c r="P171" s="7"/>
      <c r="Q171" s="2"/>
      <c r="R171" s="6">
        <f t="shared" si="77"/>
        <v>0</v>
      </c>
      <c r="S171" s="2"/>
      <c r="T171" s="7">
        <v>0</v>
      </c>
      <c r="U171" s="2"/>
      <c r="V171" s="6">
        <f t="shared" si="78"/>
        <v>0</v>
      </c>
      <c r="W171" s="2"/>
      <c r="X171" s="7">
        <f t="shared" si="79"/>
        <v>0</v>
      </c>
      <c r="Y171" s="2"/>
      <c r="Z171" s="6">
        <f t="shared" si="80"/>
        <v>0</v>
      </c>
    </row>
    <row r="172" spans="1:26" s="29" customFormat="1" outlineLevel="1" collapsed="1" x14ac:dyDescent="0.3">
      <c r="A172" s="28"/>
      <c r="B172" s="14" t="str">
        <f>CONCATENATE("     ","Professional Services                             ")</f>
        <v xml:space="preserve">     Professional Services                             </v>
      </c>
      <c r="C172" s="14"/>
      <c r="D172" s="1">
        <f>SUM(OSRRefD22_14x_0)</f>
        <v>0</v>
      </c>
      <c r="E172" s="1"/>
      <c r="F172" s="5">
        <f t="shared" ref="F172:F180" si="81">IF(D$12=0,0,D172/D$12)</f>
        <v>0</v>
      </c>
      <c r="G172" s="1"/>
      <c r="H172" s="1">
        <f>SUM(OSRRefH22_14x_0)</f>
        <v>0</v>
      </c>
      <c r="I172" s="1"/>
      <c r="J172" s="5">
        <f t="shared" ref="J172:J180" si="82">IF(H$12=0,0,H172/H$12)</f>
        <v>0</v>
      </c>
      <c r="K172" s="1"/>
      <c r="L172" s="1">
        <f t="shared" ref="L172:L180" si="83">+D172-H172</f>
        <v>0</v>
      </c>
      <c r="M172" s="1"/>
      <c r="N172" s="5">
        <f t="shared" ref="N172:N180" si="84">IF(H172=0,0,L172/H172)</f>
        <v>0</v>
      </c>
      <c r="O172" s="14"/>
      <c r="P172" s="1">
        <f>SUM(OSRRefP22_14x_0)</f>
        <v>8186.53</v>
      </c>
      <c r="Q172" s="1"/>
      <c r="R172" s="5">
        <f t="shared" ref="R172:R180" si="85">IF(P$12=0,0,P172/P$12)</f>
        <v>1.8535464445595528E-3</v>
      </c>
      <c r="S172" s="1"/>
      <c r="T172" s="1">
        <f>SUM(OSRRefT22_14x_0)</f>
        <v>0</v>
      </c>
      <c r="U172" s="1"/>
      <c r="V172" s="5">
        <f t="shared" ref="V172:V180" si="86">IF(T$12=0,0,T172/T$12)</f>
        <v>0</v>
      </c>
      <c r="W172" s="1"/>
      <c r="X172" s="1">
        <f t="shared" ref="X172:X180" si="87">+P172-T172</f>
        <v>8186.53</v>
      </c>
      <c r="Y172" s="1"/>
      <c r="Z172" s="5">
        <f t="shared" ref="Z172:Z180" si="88">IF(T172=0,0,X172/T172)</f>
        <v>0</v>
      </c>
    </row>
    <row r="173" spans="1:26" s="24" customFormat="1" hidden="1" outlineLevel="2" x14ac:dyDescent="0.3">
      <c r="A173" s="27"/>
      <c r="B173" s="11" t="str">
        <f>CONCATENATE("          ", "6336", " - ", "PROFESSIONAL SERVICES")</f>
        <v xml:space="preserve">          6336 - PROFESSIONAL SERVICES</v>
      </c>
      <c r="C173" s="11"/>
      <c r="D173" s="7"/>
      <c r="E173" s="2"/>
      <c r="F173" s="6">
        <f t="shared" si="81"/>
        <v>0</v>
      </c>
      <c r="G173" s="2"/>
      <c r="H173" s="7"/>
      <c r="I173" s="2"/>
      <c r="J173" s="6">
        <f t="shared" si="82"/>
        <v>0</v>
      </c>
      <c r="K173" s="2"/>
      <c r="L173" s="7">
        <f t="shared" si="83"/>
        <v>0</v>
      </c>
      <c r="M173" s="2"/>
      <c r="N173" s="6">
        <f t="shared" si="84"/>
        <v>0</v>
      </c>
      <c r="O173" s="11"/>
      <c r="P173" s="7">
        <v>8186.53</v>
      </c>
      <c r="Q173" s="2"/>
      <c r="R173" s="6">
        <f t="shared" si="85"/>
        <v>1.8535464445595528E-3</v>
      </c>
      <c r="S173" s="2"/>
      <c r="T173" s="7"/>
      <c r="U173" s="2"/>
      <c r="V173" s="6">
        <f t="shared" si="86"/>
        <v>0</v>
      </c>
      <c r="W173" s="2"/>
      <c r="X173" s="7">
        <f t="shared" si="87"/>
        <v>8186.53</v>
      </c>
      <c r="Y173" s="2"/>
      <c r="Z173" s="6">
        <f t="shared" si="88"/>
        <v>0</v>
      </c>
    </row>
    <row r="174" spans="1:26" s="29" customFormat="1" outlineLevel="1" collapsed="1" x14ac:dyDescent="0.3">
      <c r="A174" s="28"/>
      <c r="B174" s="14" t="str">
        <f>CONCATENATE("     ","Rent                                              ")</f>
        <v xml:space="preserve">     Rent                                              </v>
      </c>
      <c r="C174" s="14"/>
      <c r="D174" s="1">
        <f>SUM(OSRRefD22_15x_0)</f>
        <v>6100</v>
      </c>
      <c r="E174" s="1"/>
      <c r="F174" s="5">
        <f t="shared" si="81"/>
        <v>8.0735440035082061E-3</v>
      </c>
      <c r="G174" s="1"/>
      <c r="H174" s="1">
        <f>SUM(OSRRefH22_15x_0)</f>
        <v>6100</v>
      </c>
      <c r="I174" s="1"/>
      <c r="J174" s="5">
        <f t="shared" si="82"/>
        <v>5.1746498180860337E-3</v>
      </c>
      <c r="K174" s="1"/>
      <c r="L174" s="1">
        <f t="shared" si="83"/>
        <v>0</v>
      </c>
      <c r="M174" s="1"/>
      <c r="N174" s="5">
        <f t="shared" si="84"/>
        <v>0</v>
      </c>
      <c r="O174" s="14"/>
      <c r="P174" s="1">
        <f>SUM(OSRRefP22_15x_0)</f>
        <v>42700</v>
      </c>
      <c r="Q174" s="1"/>
      <c r="R174" s="5">
        <f t="shared" si="85"/>
        <v>9.6678853168183469E-3</v>
      </c>
      <c r="S174" s="1"/>
      <c r="T174" s="1">
        <f>SUM(OSRRefT22_15x_0)</f>
        <v>42700</v>
      </c>
      <c r="U174" s="1"/>
      <c r="V174" s="5">
        <f t="shared" si="86"/>
        <v>1.1012425138752495E-2</v>
      </c>
      <c r="W174" s="1"/>
      <c r="X174" s="1">
        <f t="shared" si="87"/>
        <v>0</v>
      </c>
      <c r="Y174" s="1"/>
      <c r="Z174" s="5">
        <f t="shared" si="88"/>
        <v>0</v>
      </c>
    </row>
    <row r="175" spans="1:26" s="24" customFormat="1" hidden="1" outlineLevel="2" x14ac:dyDescent="0.3">
      <c r="A175" s="27"/>
      <c r="B175" s="11" t="str">
        <f>CONCATENATE("          ", "6273", " - ", "RENT")</f>
        <v xml:space="preserve">          6273 - RENT</v>
      </c>
      <c r="C175" s="11"/>
      <c r="D175" s="7">
        <v>6100</v>
      </c>
      <c r="E175" s="2"/>
      <c r="F175" s="6">
        <f t="shared" si="81"/>
        <v>8.0735440035082061E-3</v>
      </c>
      <c r="G175" s="2"/>
      <c r="H175" s="7">
        <v>6100</v>
      </c>
      <c r="I175" s="2"/>
      <c r="J175" s="6">
        <f t="shared" si="82"/>
        <v>5.1746498180860337E-3</v>
      </c>
      <c r="K175" s="2"/>
      <c r="L175" s="7">
        <f t="shared" si="83"/>
        <v>0</v>
      </c>
      <c r="M175" s="2"/>
      <c r="N175" s="6">
        <f t="shared" si="84"/>
        <v>0</v>
      </c>
      <c r="O175" s="11"/>
      <c r="P175" s="7">
        <v>42700</v>
      </c>
      <c r="Q175" s="2"/>
      <c r="R175" s="6">
        <f t="shared" si="85"/>
        <v>9.6678853168183469E-3</v>
      </c>
      <c r="S175" s="2"/>
      <c r="T175" s="7">
        <v>42700</v>
      </c>
      <c r="U175" s="2"/>
      <c r="V175" s="6">
        <f t="shared" si="86"/>
        <v>1.1012425138752495E-2</v>
      </c>
      <c r="W175" s="2"/>
      <c r="X175" s="7">
        <f t="shared" si="87"/>
        <v>0</v>
      </c>
      <c r="Y175" s="2"/>
      <c r="Z175" s="6">
        <f t="shared" si="88"/>
        <v>0</v>
      </c>
    </row>
    <row r="176" spans="1:26" s="29" customFormat="1" outlineLevel="1" collapsed="1" x14ac:dyDescent="0.3">
      <c r="A176" s="28"/>
      <c r="B176" s="14" t="str">
        <f>CONCATENATE("     ","Repair and Maintenance                            ")</f>
        <v xml:space="preserve">     Repair and Maintenance                            </v>
      </c>
      <c r="C176" s="14"/>
      <c r="D176" s="1">
        <f>SUM(OSRRefD22_16x_0)</f>
        <v>11622.75</v>
      </c>
      <c r="E176" s="1"/>
      <c r="F176" s="5">
        <f t="shared" si="81"/>
        <v>1.5383079273241803E-2</v>
      </c>
      <c r="G176" s="1"/>
      <c r="H176" s="1">
        <f>SUM(OSRRefH22_16x_0)</f>
        <v>3697</v>
      </c>
      <c r="I176" s="1"/>
      <c r="J176" s="5">
        <f t="shared" si="82"/>
        <v>3.1361771110596831E-3</v>
      </c>
      <c r="K176" s="1"/>
      <c r="L176" s="1">
        <f t="shared" si="83"/>
        <v>7925.75</v>
      </c>
      <c r="M176" s="1"/>
      <c r="N176" s="5">
        <f t="shared" si="84"/>
        <v>2.1438328374357587</v>
      </c>
      <c r="O176" s="14"/>
      <c r="P176" s="1">
        <f>SUM(OSRRefP22_16x_0)</f>
        <v>109430.37</v>
      </c>
      <c r="Q176" s="1"/>
      <c r="R176" s="5">
        <f t="shared" si="85"/>
        <v>2.4776587057072575E-2</v>
      </c>
      <c r="S176" s="1"/>
      <c r="T176" s="1">
        <f>SUM(OSRRefT22_16x_0)</f>
        <v>112827.31999999999</v>
      </c>
      <c r="U176" s="1"/>
      <c r="V176" s="5">
        <f t="shared" si="86"/>
        <v>2.909841721559888E-2</v>
      </c>
      <c r="W176" s="1"/>
      <c r="X176" s="1">
        <f t="shared" si="87"/>
        <v>-3396.9499999999971</v>
      </c>
      <c r="Y176" s="1"/>
      <c r="Z176" s="5">
        <f t="shared" si="88"/>
        <v>-3.010751296760392E-2</v>
      </c>
    </row>
    <row r="177" spans="1:26" s="24" customFormat="1" hidden="1" outlineLevel="2" x14ac:dyDescent="0.3">
      <c r="A177" s="27"/>
      <c r="B177" s="11" t="str">
        <f>CONCATENATE("          ", "6371", " - ", "COMPUTER SOFTWARE MAINTENANCE")</f>
        <v xml:space="preserve">          6371 - COMPUTER SOFTWARE MAINTENANCE</v>
      </c>
      <c r="C177" s="11"/>
      <c r="D177" s="7"/>
      <c r="E177" s="2"/>
      <c r="F177" s="6">
        <f t="shared" si="81"/>
        <v>0</v>
      </c>
      <c r="G177" s="2"/>
      <c r="H177" s="7"/>
      <c r="I177" s="2"/>
      <c r="J177" s="6">
        <f t="shared" si="82"/>
        <v>0</v>
      </c>
      <c r="K177" s="2"/>
      <c r="L177" s="7">
        <f t="shared" si="83"/>
        <v>0</v>
      </c>
      <c r="M177" s="2"/>
      <c r="N177" s="6">
        <f t="shared" si="84"/>
        <v>0</v>
      </c>
      <c r="O177" s="11"/>
      <c r="P177" s="7">
        <v>62511</v>
      </c>
      <c r="Q177" s="2"/>
      <c r="R177" s="6">
        <f t="shared" si="85"/>
        <v>1.4153376558305193E-2</v>
      </c>
      <c r="S177" s="2"/>
      <c r="T177" s="7">
        <v>58436.47</v>
      </c>
      <c r="U177" s="2"/>
      <c r="V177" s="6">
        <f t="shared" si="86"/>
        <v>1.5070895813769462E-2</v>
      </c>
      <c r="W177" s="2"/>
      <c r="X177" s="7">
        <f t="shared" si="87"/>
        <v>4074.5299999999988</v>
      </c>
      <c r="Y177" s="2"/>
      <c r="Z177" s="6">
        <f t="shared" si="88"/>
        <v>6.972580650405473E-2</v>
      </c>
    </row>
    <row r="178" spans="1:26" s="24" customFormat="1" hidden="1" outlineLevel="2" x14ac:dyDescent="0.3">
      <c r="A178" s="27"/>
      <c r="B178" s="11" t="str">
        <f>CONCATENATE("          ", "6372", " - ", "COMPUTER HARDWARE MAINTENANCE")</f>
        <v xml:space="preserve">          6372 - COMPUTER HARDWARE MAINTENANCE</v>
      </c>
      <c r="C178" s="11"/>
      <c r="D178" s="7"/>
      <c r="E178" s="2"/>
      <c r="F178" s="6">
        <f t="shared" si="81"/>
        <v>0</v>
      </c>
      <c r="G178" s="2"/>
      <c r="H178" s="7"/>
      <c r="I178" s="2"/>
      <c r="J178" s="6">
        <f t="shared" si="82"/>
        <v>0</v>
      </c>
      <c r="K178" s="2"/>
      <c r="L178" s="7">
        <f t="shared" si="83"/>
        <v>0</v>
      </c>
      <c r="M178" s="2"/>
      <c r="N178" s="6">
        <f t="shared" si="84"/>
        <v>0</v>
      </c>
      <c r="O178" s="11"/>
      <c r="P178" s="7"/>
      <c r="Q178" s="2"/>
      <c r="R178" s="6">
        <f t="shared" si="85"/>
        <v>0</v>
      </c>
      <c r="S178" s="2"/>
      <c r="T178" s="7">
        <v>0</v>
      </c>
      <c r="U178" s="2"/>
      <c r="V178" s="6">
        <f t="shared" si="86"/>
        <v>0</v>
      </c>
      <c r="W178" s="2"/>
      <c r="X178" s="7">
        <f t="shared" si="87"/>
        <v>0</v>
      </c>
      <c r="Y178" s="2"/>
      <c r="Z178" s="6">
        <f t="shared" si="88"/>
        <v>0</v>
      </c>
    </row>
    <row r="179" spans="1:26" s="24" customFormat="1" hidden="1" outlineLevel="2" x14ac:dyDescent="0.3">
      <c r="A179" s="27"/>
      <c r="B179" s="11" t="str">
        <f>CONCATENATE("          ", "6373", " - ", "MAINTENANCE CONTRACTS")</f>
        <v xml:space="preserve">          6373 - MAINTENANCE CONTRACTS</v>
      </c>
      <c r="C179" s="11"/>
      <c r="D179" s="7">
        <v>1512.02</v>
      </c>
      <c r="E179" s="2"/>
      <c r="F179" s="6">
        <f t="shared" si="81"/>
        <v>2.0012065580630291E-3</v>
      </c>
      <c r="G179" s="2"/>
      <c r="H179" s="7">
        <v>1122</v>
      </c>
      <c r="I179" s="2"/>
      <c r="J179" s="6">
        <f t="shared" si="82"/>
        <v>9.5179624522828362E-4</v>
      </c>
      <c r="K179" s="2"/>
      <c r="L179" s="7">
        <f t="shared" si="83"/>
        <v>390.02</v>
      </c>
      <c r="M179" s="2"/>
      <c r="N179" s="6">
        <f t="shared" si="84"/>
        <v>0.34761140819964348</v>
      </c>
      <c r="O179" s="11"/>
      <c r="P179" s="7">
        <v>15995.19</v>
      </c>
      <c r="Q179" s="2"/>
      <c r="R179" s="6">
        <f t="shared" si="85"/>
        <v>3.621537764419664E-3</v>
      </c>
      <c r="S179" s="2"/>
      <c r="T179" s="7">
        <v>40054.18</v>
      </c>
      <c r="U179" s="2"/>
      <c r="V179" s="6">
        <f t="shared" si="86"/>
        <v>1.0330062265670197E-2</v>
      </c>
      <c r="W179" s="2"/>
      <c r="X179" s="7">
        <f t="shared" si="87"/>
        <v>-24058.989999999998</v>
      </c>
      <c r="Y179" s="2"/>
      <c r="Z179" s="6">
        <f t="shared" si="88"/>
        <v>-0.60066115446627533</v>
      </c>
    </row>
    <row r="180" spans="1:26" s="24" customFormat="1" hidden="1" outlineLevel="2" x14ac:dyDescent="0.3">
      <c r="A180" s="27"/>
      <c r="B180" s="11" t="str">
        <f>CONCATENATE("          ", "6375", " - ", "OUTSIDE REPAIRS &amp; MAINTENANCE")</f>
        <v xml:space="preserve">          6375 - OUTSIDE REPAIRS &amp; MAINTENANCE</v>
      </c>
      <c r="C180" s="11"/>
      <c r="D180" s="7">
        <v>10110.73</v>
      </c>
      <c r="E180" s="2"/>
      <c r="F180" s="6">
        <f t="shared" si="81"/>
        <v>1.3381872715178773E-2</v>
      </c>
      <c r="G180" s="2"/>
      <c r="H180" s="7">
        <v>2575</v>
      </c>
      <c r="I180" s="2"/>
      <c r="J180" s="6">
        <f t="shared" si="82"/>
        <v>2.1843808658313997E-3</v>
      </c>
      <c r="K180" s="2"/>
      <c r="L180" s="7">
        <f t="shared" si="83"/>
        <v>7535.73</v>
      </c>
      <c r="M180" s="2"/>
      <c r="N180" s="6">
        <f t="shared" si="84"/>
        <v>2.9264970873786407</v>
      </c>
      <c r="O180" s="11"/>
      <c r="P180" s="7">
        <v>30924.18</v>
      </c>
      <c r="Q180" s="2"/>
      <c r="R180" s="6">
        <f t="shared" si="85"/>
        <v>7.0016727343477185E-3</v>
      </c>
      <c r="S180" s="2"/>
      <c r="T180" s="7">
        <v>14336.67</v>
      </c>
      <c r="U180" s="2"/>
      <c r="V180" s="6">
        <f t="shared" si="86"/>
        <v>3.6974591361592212E-3</v>
      </c>
      <c r="W180" s="2"/>
      <c r="X180" s="7">
        <f t="shared" si="87"/>
        <v>16587.510000000002</v>
      </c>
      <c r="Y180" s="2"/>
      <c r="Z180" s="6">
        <f t="shared" si="88"/>
        <v>1.156998800976796</v>
      </c>
    </row>
    <row r="181" spans="1:26" s="29" customFormat="1" outlineLevel="1" collapsed="1" x14ac:dyDescent="0.3">
      <c r="A181" s="28"/>
      <c r="B181" s="14" t="str">
        <f>CONCATENATE("     ","Royalty &amp; Commissions                             ")</f>
        <v xml:space="preserve">     Royalty &amp; Commissions                             </v>
      </c>
      <c r="C181" s="14"/>
      <c r="D181" s="1">
        <f>SUM(OSRRefD22_17x_0)</f>
        <v>23704.5</v>
      </c>
      <c r="E181" s="1"/>
      <c r="F181" s="5">
        <f t="shared" ref="F181:F184" si="89">IF(D$12=0,0,D181/D$12)</f>
        <v>3.1373659644452503E-2</v>
      </c>
      <c r="G181" s="1"/>
      <c r="H181" s="1">
        <f>SUM(OSRRefH22_17x_0)</f>
        <v>7789.59</v>
      </c>
      <c r="I181" s="1"/>
      <c r="J181" s="5">
        <f t="shared" ref="J181:J184" si="90">IF(H$12=0,0,H181/H$12)</f>
        <v>6.6079345043384904E-3</v>
      </c>
      <c r="K181" s="1"/>
      <c r="L181" s="1">
        <f t="shared" ref="L181:L184" si="91">+D181-H181</f>
        <v>15914.91</v>
      </c>
      <c r="M181" s="1"/>
      <c r="N181" s="5">
        <f t="shared" ref="N181:N184" si="92">IF(H181=0,0,L181/H181)</f>
        <v>2.0430998293876828</v>
      </c>
      <c r="O181" s="14"/>
      <c r="P181" s="1">
        <f>SUM(OSRRefP22_17x_0)</f>
        <v>45451.430000000008</v>
      </c>
      <c r="Q181" s="1"/>
      <c r="R181" s="5">
        <f t="shared" ref="R181:R184" si="93">IF(P$12=0,0,P181/P$12)</f>
        <v>1.0290848073194308E-2</v>
      </c>
      <c r="S181" s="1"/>
      <c r="T181" s="1">
        <f>SUM(OSRRefT22_17x_0)</f>
        <v>36365.65</v>
      </c>
      <c r="U181" s="1"/>
      <c r="V181" s="5">
        <f t="shared" ref="V181:V184" si="94">IF(T$12=0,0,T181/T$12)</f>
        <v>9.3787821603530386E-3</v>
      </c>
      <c r="W181" s="1"/>
      <c r="X181" s="1">
        <f t="shared" ref="X181:X184" si="95">+P181-T181</f>
        <v>9085.7800000000061</v>
      </c>
      <c r="Y181" s="1"/>
      <c r="Z181" s="5">
        <f t="shared" ref="Z181:Z184" si="96">IF(T181=0,0,X181/T181)</f>
        <v>0.24984511482676663</v>
      </c>
    </row>
    <row r="182" spans="1:26" s="24" customFormat="1" hidden="1" outlineLevel="2" x14ac:dyDescent="0.3">
      <c r="A182" s="27"/>
      <c r="B182" s="11" t="str">
        <f>CONCATENATE("          ", "6253", " - ", "ROYALTY DUE ATHLETICS-LRG")</f>
        <v xml:space="preserve">          6253 - ROYALTY DUE ATHLETICS-LRG</v>
      </c>
      <c r="C182" s="11"/>
      <c r="D182" s="7">
        <v>16060.87</v>
      </c>
      <c r="E182" s="2"/>
      <c r="F182" s="6">
        <f t="shared" si="89"/>
        <v>2.1257072242561448E-2</v>
      </c>
      <c r="G182" s="2"/>
      <c r="H182" s="7">
        <v>7785.78</v>
      </c>
      <c r="I182" s="2"/>
      <c r="J182" s="6">
        <f t="shared" si="90"/>
        <v>6.6047024689603086E-3</v>
      </c>
      <c r="K182" s="2"/>
      <c r="L182" s="7">
        <f t="shared" si="91"/>
        <v>8275.09</v>
      </c>
      <c r="M182" s="2"/>
      <c r="N182" s="6">
        <f t="shared" si="92"/>
        <v>1.0628466255147204</v>
      </c>
      <c r="O182" s="11"/>
      <c r="P182" s="7">
        <v>39221.160000000003</v>
      </c>
      <c r="Q182" s="2"/>
      <c r="R182" s="6">
        <f t="shared" si="93"/>
        <v>8.8802266246506591E-3</v>
      </c>
      <c r="S182" s="2"/>
      <c r="T182" s="7">
        <v>26197.58</v>
      </c>
      <c r="U182" s="2"/>
      <c r="V182" s="6">
        <f t="shared" si="94"/>
        <v>6.7564142521423804E-3</v>
      </c>
      <c r="W182" s="2"/>
      <c r="X182" s="7">
        <f t="shared" si="95"/>
        <v>13023.580000000002</v>
      </c>
      <c r="Y182" s="2"/>
      <c r="Z182" s="6">
        <f t="shared" si="96"/>
        <v>0.49712912414047405</v>
      </c>
    </row>
    <row r="183" spans="1:26" s="24" customFormat="1" hidden="1" outlineLevel="2" x14ac:dyDescent="0.3">
      <c r="A183" s="27"/>
      <c r="B183" s="11" t="str">
        <f>CONCATENATE("          ", "6254", " - ", "ROYALTY &amp; COMMISSIONS")</f>
        <v xml:space="preserve">          6254 - ROYALTY &amp; COMMISSIONS</v>
      </c>
      <c r="C183" s="11"/>
      <c r="D183" s="7">
        <v>7389.19</v>
      </c>
      <c r="E183" s="2"/>
      <c r="F183" s="6">
        <f t="shared" si="89"/>
        <v>9.7798279697184909E-3</v>
      </c>
      <c r="G183" s="2"/>
      <c r="H183" s="7"/>
      <c r="I183" s="2"/>
      <c r="J183" s="6">
        <f t="shared" si="90"/>
        <v>0</v>
      </c>
      <c r="K183" s="2"/>
      <c r="L183" s="7">
        <f t="shared" si="91"/>
        <v>7389.19</v>
      </c>
      <c r="M183" s="2"/>
      <c r="N183" s="6">
        <f t="shared" si="92"/>
        <v>0</v>
      </c>
      <c r="O183" s="11"/>
      <c r="P183" s="7">
        <v>361.69</v>
      </c>
      <c r="Q183" s="2"/>
      <c r="R183" s="6">
        <f t="shared" si="93"/>
        <v>8.18917433311482E-5</v>
      </c>
      <c r="S183" s="2"/>
      <c r="T183" s="7"/>
      <c r="U183" s="2"/>
      <c r="V183" s="6">
        <f t="shared" si="94"/>
        <v>0</v>
      </c>
      <c r="W183" s="2"/>
      <c r="X183" s="7">
        <f t="shared" si="95"/>
        <v>361.69</v>
      </c>
      <c r="Y183" s="2"/>
      <c r="Z183" s="6">
        <f t="shared" si="96"/>
        <v>0</v>
      </c>
    </row>
    <row r="184" spans="1:26" s="24" customFormat="1" hidden="1" outlineLevel="2" x14ac:dyDescent="0.3">
      <c r="A184" s="27"/>
      <c r="B184" s="11" t="str">
        <f>CONCATENATE("          ", "6259", " - ", "ROYALTY &amp; COMMISSIONS")</f>
        <v xml:space="preserve">          6259 - ROYALTY &amp; COMMISSIONS</v>
      </c>
      <c r="C184" s="11"/>
      <c r="D184" s="7">
        <v>254.44</v>
      </c>
      <c r="E184" s="2"/>
      <c r="F184" s="6">
        <f t="shared" si="89"/>
        <v>3.3675943217256196E-4</v>
      </c>
      <c r="G184" s="2"/>
      <c r="H184" s="7">
        <v>3.81</v>
      </c>
      <c r="I184" s="2"/>
      <c r="J184" s="6">
        <f t="shared" si="90"/>
        <v>3.2320353781816051E-6</v>
      </c>
      <c r="K184" s="2"/>
      <c r="L184" s="7">
        <f t="shared" si="91"/>
        <v>250.63</v>
      </c>
      <c r="M184" s="2"/>
      <c r="N184" s="6">
        <f t="shared" si="92"/>
        <v>65.782152230971121</v>
      </c>
      <c r="O184" s="11"/>
      <c r="P184" s="7">
        <v>5868.58</v>
      </c>
      <c r="Q184" s="2"/>
      <c r="R184" s="6">
        <f t="shared" si="93"/>
        <v>1.3287297052125015E-3</v>
      </c>
      <c r="S184" s="2"/>
      <c r="T184" s="7">
        <v>10168.07</v>
      </c>
      <c r="U184" s="2"/>
      <c r="V184" s="6">
        <f t="shared" si="94"/>
        <v>2.6223679082106577E-3</v>
      </c>
      <c r="W184" s="2"/>
      <c r="X184" s="7">
        <f t="shared" si="95"/>
        <v>-4299.49</v>
      </c>
      <c r="Y184" s="2"/>
      <c r="Z184" s="6">
        <f t="shared" si="96"/>
        <v>-0.4228422896380532</v>
      </c>
    </row>
    <row r="185" spans="1:26" s="29" customFormat="1" outlineLevel="1" collapsed="1" x14ac:dyDescent="0.3">
      <c r="A185" s="28"/>
      <c r="B185" s="14" t="str">
        <f>CONCATENATE("     ","Services                                          ")</f>
        <v xml:space="preserve">     Services                                          </v>
      </c>
      <c r="C185" s="14"/>
      <c r="D185" s="1">
        <f>SUM(OSRRefD22_18x_0)</f>
        <v>4457.3099999999995</v>
      </c>
      <c r="E185" s="1"/>
      <c r="F185" s="5">
        <f t="shared" ref="F185:F189" si="97">IF(D$12=0,0,D185/D$12)</f>
        <v>5.8993915446355991E-3</v>
      </c>
      <c r="G185" s="1"/>
      <c r="H185" s="1">
        <f>SUM(OSRRefH22_18x_0)</f>
        <v>5545.57</v>
      </c>
      <c r="I185" s="1"/>
      <c r="J185" s="5">
        <f t="shared" ref="J185:J189" si="98">IF(H$12=0,0,H185/H$12)</f>
        <v>4.7043250478169454E-3</v>
      </c>
      <c r="K185" s="1"/>
      <c r="L185" s="1">
        <f t="shared" ref="L185:L189" si="99">+D185-H185</f>
        <v>-1088.2600000000002</v>
      </c>
      <c r="M185" s="1"/>
      <c r="N185" s="5">
        <f t="shared" ref="N185:N189" si="100">IF(H185=0,0,L185/H185)</f>
        <v>-0.19623952091489247</v>
      </c>
      <c r="O185" s="14"/>
      <c r="P185" s="1">
        <f>SUM(OSRRefP22_18x_0)</f>
        <v>40244.299999999996</v>
      </c>
      <c r="Q185" s="1"/>
      <c r="R185" s="5">
        <f t="shared" ref="R185:R189" si="101">IF(P$12=0,0,P185/P$12)</f>
        <v>9.1118800247220744E-3</v>
      </c>
      <c r="S185" s="1"/>
      <c r="T185" s="1">
        <f>SUM(OSRRefT22_18x_0)</f>
        <v>24729.32</v>
      </c>
      <c r="U185" s="1"/>
      <c r="V185" s="5">
        <f t="shared" ref="V185:V189" si="102">IF(T$12=0,0,T185/T$12)</f>
        <v>6.3777467267506997E-3</v>
      </c>
      <c r="W185" s="1"/>
      <c r="X185" s="1">
        <f t="shared" ref="X185:X189" si="103">+P185-T185</f>
        <v>15514.979999999996</v>
      </c>
      <c r="Y185" s="1"/>
      <c r="Z185" s="5">
        <f t="shared" ref="Z185:Z189" si="104">IF(T185=0,0,X185/T185)</f>
        <v>0.62739209974233001</v>
      </c>
    </row>
    <row r="186" spans="1:26" s="24" customFormat="1" hidden="1" outlineLevel="2" x14ac:dyDescent="0.3">
      <c r="A186" s="27"/>
      <c r="B186" s="11" t="str">
        <f>CONCATENATE("          ", "6282", " - ", "JANITORIAL/EXTERMINATOR EXPENS")</f>
        <v xml:space="preserve">          6282 - JANITORIAL/EXTERMINATOR EXPENS</v>
      </c>
      <c r="C186" s="11"/>
      <c r="D186" s="7">
        <v>69</v>
      </c>
      <c r="E186" s="2"/>
      <c r="F186" s="6">
        <f t="shared" si="97"/>
        <v>9.132369446591249E-5</v>
      </c>
      <c r="G186" s="2"/>
      <c r="H186" s="7">
        <v>1613</v>
      </c>
      <c r="I186" s="2"/>
      <c r="J186" s="6">
        <f t="shared" si="98"/>
        <v>1.3683131404217661E-3</v>
      </c>
      <c r="K186" s="2"/>
      <c r="L186" s="7">
        <f t="shared" si="99"/>
        <v>-1544</v>
      </c>
      <c r="M186" s="2"/>
      <c r="N186" s="6">
        <f t="shared" si="100"/>
        <v>-0.95722256664600125</v>
      </c>
      <c r="O186" s="11"/>
      <c r="P186" s="7">
        <v>2193.6799999999998</v>
      </c>
      <c r="Q186" s="2"/>
      <c r="R186" s="6">
        <f t="shared" si="101"/>
        <v>4.9668024969082129E-4</v>
      </c>
      <c r="S186" s="2"/>
      <c r="T186" s="7">
        <v>6953.12</v>
      </c>
      <c r="U186" s="2"/>
      <c r="V186" s="6">
        <f t="shared" si="102"/>
        <v>1.7932251400647014E-3</v>
      </c>
      <c r="W186" s="2"/>
      <c r="X186" s="7">
        <f t="shared" si="103"/>
        <v>-4759.4400000000005</v>
      </c>
      <c r="Y186" s="2"/>
      <c r="Z186" s="6">
        <f t="shared" si="104"/>
        <v>-0.68450422256483434</v>
      </c>
    </row>
    <row r="187" spans="1:26" s="24" customFormat="1" hidden="1" outlineLevel="2" x14ac:dyDescent="0.3">
      <c r="A187" s="27"/>
      <c r="B187" s="11" t="str">
        <f>CONCATENATE("          ", "6283", " - ", "PLANT SERVICE")</f>
        <v xml:space="preserve">          6283 - PLANT SERVICE</v>
      </c>
      <c r="C187" s="11"/>
      <c r="D187" s="7"/>
      <c r="E187" s="2"/>
      <c r="F187" s="6">
        <f t="shared" si="97"/>
        <v>0</v>
      </c>
      <c r="G187" s="2"/>
      <c r="H187" s="7"/>
      <c r="I187" s="2"/>
      <c r="J187" s="6">
        <f t="shared" si="98"/>
        <v>0</v>
      </c>
      <c r="K187" s="2"/>
      <c r="L187" s="7">
        <f t="shared" si="99"/>
        <v>0</v>
      </c>
      <c r="M187" s="2"/>
      <c r="N187" s="6">
        <f t="shared" si="100"/>
        <v>0</v>
      </c>
      <c r="O187" s="11"/>
      <c r="P187" s="7"/>
      <c r="Q187" s="2"/>
      <c r="R187" s="6">
        <f t="shared" si="101"/>
        <v>0</v>
      </c>
      <c r="S187" s="2"/>
      <c r="T187" s="7">
        <v>171.31</v>
      </c>
      <c r="U187" s="2"/>
      <c r="V187" s="6">
        <f t="shared" si="102"/>
        <v>4.4181230691327636E-5</v>
      </c>
      <c r="W187" s="2"/>
      <c r="X187" s="7">
        <f t="shared" si="103"/>
        <v>-171.31</v>
      </c>
      <c r="Y187" s="2"/>
      <c r="Z187" s="6">
        <f t="shared" si="104"/>
        <v>-1</v>
      </c>
    </row>
    <row r="188" spans="1:26" s="24" customFormat="1" hidden="1" outlineLevel="2" x14ac:dyDescent="0.3">
      <c r="A188" s="27"/>
      <c r="B188" s="11" t="str">
        <f>CONCATENATE("          ", "6284", " - ", "TRASH REMOVAL EXPENSE")</f>
        <v xml:space="preserve">          6284 - TRASH REMOVAL EXPENSE</v>
      </c>
      <c r="C188" s="11"/>
      <c r="D188" s="7">
        <v>149.69999999999999</v>
      </c>
      <c r="E188" s="2"/>
      <c r="F188" s="6">
        <f t="shared" si="97"/>
        <v>1.9813271103691447E-4</v>
      </c>
      <c r="G188" s="2"/>
      <c r="H188" s="7">
        <v>142.57</v>
      </c>
      <c r="I188" s="2"/>
      <c r="J188" s="6">
        <f t="shared" si="98"/>
        <v>1.2094259419090588E-4</v>
      </c>
      <c r="K188" s="2"/>
      <c r="L188" s="7">
        <f t="shared" si="99"/>
        <v>7.1299999999999955</v>
      </c>
      <c r="M188" s="2"/>
      <c r="N188" s="6">
        <f t="shared" si="100"/>
        <v>5.0010521147506461E-2</v>
      </c>
      <c r="O188" s="11"/>
      <c r="P188" s="7">
        <v>1040.77</v>
      </c>
      <c r="Q188" s="2"/>
      <c r="R188" s="6">
        <f t="shared" si="101"/>
        <v>2.356450819949656E-4</v>
      </c>
      <c r="S188" s="2"/>
      <c r="T188" s="7">
        <v>1013.01</v>
      </c>
      <c r="U188" s="2"/>
      <c r="V188" s="6">
        <f t="shared" si="102"/>
        <v>2.6125753606106943E-4</v>
      </c>
      <c r="W188" s="2"/>
      <c r="X188" s="7">
        <f t="shared" si="103"/>
        <v>27.759999999999991</v>
      </c>
      <c r="Y188" s="2"/>
      <c r="Z188" s="6">
        <f t="shared" si="104"/>
        <v>2.7403480715886309E-2</v>
      </c>
    </row>
    <row r="189" spans="1:26" s="24" customFormat="1" hidden="1" outlineLevel="2" x14ac:dyDescent="0.3">
      <c r="A189" s="27"/>
      <c r="B189" s="11" t="str">
        <f>CONCATENATE("          ", "6285", " - ", "JANITORIAL SERVICES")</f>
        <v xml:space="preserve">          6285 - JANITORIAL SERVICES</v>
      </c>
      <c r="C189" s="11"/>
      <c r="D189" s="7">
        <v>4238.6099999999997</v>
      </c>
      <c r="E189" s="2"/>
      <c r="F189" s="6">
        <f t="shared" si="97"/>
        <v>5.6099351391327729E-3</v>
      </c>
      <c r="G189" s="2"/>
      <c r="H189" s="7">
        <v>3790</v>
      </c>
      <c r="I189" s="2"/>
      <c r="J189" s="6">
        <f t="shared" si="98"/>
        <v>3.2150693132042738E-3</v>
      </c>
      <c r="K189" s="2"/>
      <c r="L189" s="7">
        <f t="shared" si="99"/>
        <v>448.60999999999967</v>
      </c>
      <c r="M189" s="2"/>
      <c r="N189" s="6">
        <f t="shared" si="100"/>
        <v>0.11836675461741417</v>
      </c>
      <c r="O189" s="11"/>
      <c r="P189" s="7">
        <v>37009.85</v>
      </c>
      <c r="Q189" s="2"/>
      <c r="R189" s="6">
        <f t="shared" si="101"/>
        <v>8.3795546930362872E-3</v>
      </c>
      <c r="S189" s="2"/>
      <c r="T189" s="7">
        <v>16591.88</v>
      </c>
      <c r="U189" s="2"/>
      <c r="V189" s="6">
        <f t="shared" si="102"/>
        <v>4.2790828199336011E-3</v>
      </c>
      <c r="W189" s="2"/>
      <c r="X189" s="7">
        <f t="shared" si="103"/>
        <v>20417.969999999998</v>
      </c>
      <c r="Y189" s="2"/>
      <c r="Z189" s="6">
        <f t="shared" si="104"/>
        <v>1.2306001489885412</v>
      </c>
    </row>
    <row r="190" spans="1:26" s="29" customFormat="1" outlineLevel="1" collapsed="1" x14ac:dyDescent="0.3">
      <c r="A190" s="28"/>
      <c r="B190" s="14" t="str">
        <f>CONCATENATE("     ","Subscriptions &amp; Dues                              ")</f>
        <v xml:space="preserve">     Subscriptions &amp; Dues                              </v>
      </c>
      <c r="C190" s="14"/>
      <c r="D190" s="1">
        <f>SUM(OSRRefD22_19x_0)</f>
        <v>301.99</v>
      </c>
      <c r="E190" s="1"/>
      <c r="F190" s="5">
        <f t="shared" ref="F190:F192" si="105">IF(D$12=0,0,D190/D$12)</f>
        <v>3.9969336944581033E-4</v>
      </c>
      <c r="G190" s="1"/>
      <c r="H190" s="1">
        <f>SUM(OSRRefH22_19x_0)</f>
        <v>2389.69</v>
      </c>
      <c r="I190" s="1"/>
      <c r="J190" s="5">
        <f t="shared" ref="J190:J192" si="106">IF(H$12=0,0,H190/H$12)</f>
        <v>2.0271817907839369E-3</v>
      </c>
      <c r="K190" s="1"/>
      <c r="L190" s="1">
        <f t="shared" ref="L190:L192" si="107">+D190-H190</f>
        <v>-2087.6999999999998</v>
      </c>
      <c r="M190" s="1"/>
      <c r="N190" s="5">
        <f t="shared" ref="N190:N192" si="108">IF(H190=0,0,L190/H190)</f>
        <v>-0.87362796011198096</v>
      </c>
      <c r="O190" s="14"/>
      <c r="P190" s="1">
        <f>SUM(OSRRefP22_19x_0)</f>
        <v>1693.73</v>
      </c>
      <c r="Q190" s="1"/>
      <c r="R190" s="5">
        <f t="shared" ref="R190:R192" si="109">IF(P$12=0,0,P190/P$12)</f>
        <v>3.8348448238067307E-4</v>
      </c>
      <c r="S190" s="1"/>
      <c r="T190" s="1">
        <f>SUM(OSRRefT22_19x_0)</f>
        <v>3845.13</v>
      </c>
      <c r="U190" s="1"/>
      <c r="V190" s="5">
        <f t="shared" ref="V190:V192" si="110">IF(T$12=0,0,T190/T$12)</f>
        <v>9.9166759423352188E-4</v>
      </c>
      <c r="W190" s="1"/>
      <c r="X190" s="1">
        <f t="shared" ref="X190:X192" si="111">+P190-T190</f>
        <v>-2151.4</v>
      </c>
      <c r="Y190" s="1"/>
      <c r="Z190" s="5">
        <f t="shared" ref="Z190:Z192" si="112">IF(T190=0,0,X190/T190)</f>
        <v>-0.55951294234525228</v>
      </c>
    </row>
    <row r="191" spans="1:26" s="24" customFormat="1" hidden="1" outlineLevel="2" x14ac:dyDescent="0.3">
      <c r="A191" s="27"/>
      <c r="B191" s="11" t="str">
        <f>CONCATENATE("          ", "6258", " - ", "MEMBERSHIP DUES")</f>
        <v xml:space="preserve">          6258 - MEMBERSHIP DUES</v>
      </c>
      <c r="C191" s="11"/>
      <c r="D191" s="7">
        <v>301.99</v>
      </c>
      <c r="E191" s="2"/>
      <c r="F191" s="6">
        <f t="shared" si="105"/>
        <v>3.9969336944581033E-4</v>
      </c>
      <c r="G191" s="2"/>
      <c r="H191" s="7">
        <v>462.61</v>
      </c>
      <c r="I191" s="2"/>
      <c r="J191" s="6">
        <f t="shared" si="106"/>
        <v>3.9243356595816068E-4</v>
      </c>
      <c r="K191" s="2"/>
      <c r="L191" s="7">
        <f t="shared" si="107"/>
        <v>-160.62</v>
      </c>
      <c r="M191" s="2"/>
      <c r="N191" s="6">
        <f t="shared" si="108"/>
        <v>-0.34720390825965713</v>
      </c>
      <c r="O191" s="11"/>
      <c r="P191" s="7">
        <v>1693.73</v>
      </c>
      <c r="Q191" s="2"/>
      <c r="R191" s="6">
        <f t="shared" si="109"/>
        <v>3.8348448238067307E-4</v>
      </c>
      <c r="S191" s="2"/>
      <c r="T191" s="7">
        <v>1692.32</v>
      </c>
      <c r="U191" s="2"/>
      <c r="V191" s="6">
        <f t="shared" si="110"/>
        <v>4.3645309861390215E-4</v>
      </c>
      <c r="W191" s="2"/>
      <c r="X191" s="7">
        <f t="shared" si="111"/>
        <v>1.4100000000000819</v>
      </c>
      <c r="Y191" s="2"/>
      <c r="Z191" s="6">
        <f t="shared" si="112"/>
        <v>8.3317575872180318E-4</v>
      </c>
    </row>
    <row r="192" spans="1:26" s="24" customFormat="1" hidden="1" outlineLevel="2" x14ac:dyDescent="0.3">
      <c r="A192" s="27"/>
      <c r="B192" s="11" t="str">
        <f>CONCATENATE("          ", "6275", " - ", "SUBSCRIPTIONS")</f>
        <v xml:space="preserve">          6275 - SUBSCRIPTIONS</v>
      </c>
      <c r="C192" s="11"/>
      <c r="D192" s="7"/>
      <c r="E192" s="2"/>
      <c r="F192" s="6">
        <f t="shared" si="105"/>
        <v>0</v>
      </c>
      <c r="G192" s="2"/>
      <c r="H192" s="7">
        <v>1927.08</v>
      </c>
      <c r="I192" s="2"/>
      <c r="J192" s="6">
        <f t="shared" si="106"/>
        <v>1.6347482248257762E-3</v>
      </c>
      <c r="K192" s="2"/>
      <c r="L192" s="7">
        <f t="shared" si="107"/>
        <v>-1927.08</v>
      </c>
      <c r="M192" s="2"/>
      <c r="N192" s="6">
        <f t="shared" si="108"/>
        <v>-1</v>
      </c>
      <c r="O192" s="11"/>
      <c r="P192" s="7"/>
      <c r="Q192" s="2"/>
      <c r="R192" s="6">
        <f t="shared" si="109"/>
        <v>0</v>
      </c>
      <c r="S192" s="2"/>
      <c r="T192" s="7">
        <v>2152.81</v>
      </c>
      <c r="U192" s="2"/>
      <c r="V192" s="6">
        <f t="shared" si="110"/>
        <v>5.5521449561961962E-4</v>
      </c>
      <c r="W192" s="2"/>
      <c r="X192" s="7">
        <f t="shared" si="111"/>
        <v>-2152.81</v>
      </c>
      <c r="Y192" s="2"/>
      <c r="Z192" s="6">
        <f t="shared" si="112"/>
        <v>-1</v>
      </c>
    </row>
    <row r="193" spans="1:26" s="29" customFormat="1" outlineLevel="1" collapsed="1" x14ac:dyDescent="0.3">
      <c r="A193" s="28"/>
      <c r="B193" s="14" t="str">
        <f>CONCATENATE("     ","Supplies                                          ")</f>
        <v xml:space="preserve">     Supplies                                          </v>
      </c>
      <c r="C193" s="14"/>
      <c r="D193" s="1">
        <f>SUM(OSRRefD22_20x_0)</f>
        <v>3936.56</v>
      </c>
      <c r="E193" s="1"/>
      <c r="F193" s="5">
        <f t="shared" ref="F193:F200" si="113">IF(D$12=0,0,D193/D$12)</f>
        <v>5.2101623577787311E-3</v>
      </c>
      <c r="G193" s="1"/>
      <c r="H193" s="1">
        <f>SUM(OSRRefH22_20x_0)</f>
        <v>13676.5</v>
      </c>
      <c r="I193" s="1"/>
      <c r="J193" s="5">
        <f t="shared" ref="J193:J200" si="114">IF(H$12=0,0,H193/H$12)</f>
        <v>1.1601819383123548E-2</v>
      </c>
      <c r="K193" s="1"/>
      <c r="L193" s="1">
        <f t="shared" ref="L193:L200" si="115">+D193-H193</f>
        <v>-9739.94</v>
      </c>
      <c r="M193" s="1"/>
      <c r="N193" s="5">
        <f t="shared" ref="N193:N200" si="116">IF(H193=0,0,L193/H193)</f>
        <v>-0.71216612437392612</v>
      </c>
      <c r="O193" s="14"/>
      <c r="P193" s="1">
        <f>SUM(OSRRefP22_20x_0)</f>
        <v>56653.35</v>
      </c>
      <c r="Q193" s="1"/>
      <c r="R193" s="5">
        <f t="shared" ref="R193:R200" si="117">IF(P$12=0,0,P193/P$12)</f>
        <v>1.2827121560036785E-2</v>
      </c>
      <c r="S193" s="1"/>
      <c r="T193" s="1">
        <f>SUM(OSRRefT22_20x_0)</f>
        <v>91002.6</v>
      </c>
      <c r="U193" s="1"/>
      <c r="V193" s="5">
        <f t="shared" ref="V193:V200" si="118">IF(T$12=0,0,T193/T$12)</f>
        <v>2.3469773300511428E-2</v>
      </c>
      <c r="W193" s="1"/>
      <c r="X193" s="1">
        <f t="shared" ref="X193:X200" si="119">+P193-T193</f>
        <v>-34349.250000000007</v>
      </c>
      <c r="Y193" s="1"/>
      <c r="Z193" s="5">
        <f t="shared" ref="Z193:Z200" si="120">IF(T193=0,0,X193/T193)</f>
        <v>-0.3774535013285335</v>
      </c>
    </row>
    <row r="194" spans="1:26" s="24" customFormat="1" hidden="1" outlineLevel="2" x14ac:dyDescent="0.3">
      <c r="A194" s="27"/>
      <c r="B194" s="11" t="str">
        <f>CONCATENATE("          ", "6234", " - ", "EXPENDABLE SUPPLIES &amp; EQUIPMEN")</f>
        <v xml:space="preserve">          6234 - EXPENDABLE SUPPLIES &amp; EQUIPMEN</v>
      </c>
      <c r="C194" s="11"/>
      <c r="D194" s="7"/>
      <c r="E194" s="2"/>
      <c r="F194" s="6">
        <f t="shared" si="113"/>
        <v>0</v>
      </c>
      <c r="G194" s="2"/>
      <c r="H194" s="7">
        <v>396.5</v>
      </c>
      <c r="I194" s="2"/>
      <c r="J194" s="6">
        <f t="shared" si="114"/>
        <v>3.363522381755922E-4</v>
      </c>
      <c r="K194" s="2"/>
      <c r="L194" s="7">
        <f t="shared" si="115"/>
        <v>-396.5</v>
      </c>
      <c r="M194" s="2"/>
      <c r="N194" s="6">
        <f t="shared" si="116"/>
        <v>-1</v>
      </c>
      <c r="O194" s="11"/>
      <c r="P194" s="7">
        <v>5289.57</v>
      </c>
      <c r="Q194" s="2"/>
      <c r="R194" s="6">
        <f t="shared" si="117"/>
        <v>1.1976336331447968E-3</v>
      </c>
      <c r="S194" s="2"/>
      <c r="T194" s="7">
        <v>-52.84</v>
      </c>
      <c r="U194" s="2"/>
      <c r="V194" s="6">
        <f t="shared" si="118"/>
        <v>-1.3627553731421122E-5</v>
      </c>
      <c r="W194" s="2"/>
      <c r="X194" s="7">
        <f t="shared" si="119"/>
        <v>5342.41</v>
      </c>
      <c r="Y194" s="2"/>
      <c r="Z194" s="6">
        <f t="shared" si="120"/>
        <v>-101.10541256623769</v>
      </c>
    </row>
    <row r="195" spans="1:26" s="24" customFormat="1" hidden="1" outlineLevel="2" x14ac:dyDescent="0.3">
      <c r="A195" s="27"/>
      <c r="B195" s="11" t="str">
        <f>CONCATENATE("          ", "6235", " - ", "COVID-19 EXPENSES")</f>
        <v xml:space="preserve">          6235 - COVID-19 EXPENSES</v>
      </c>
      <c r="C195" s="11"/>
      <c r="D195" s="7"/>
      <c r="E195" s="2"/>
      <c r="F195" s="6">
        <f t="shared" si="113"/>
        <v>0</v>
      </c>
      <c r="G195" s="2"/>
      <c r="H195" s="7">
        <v>2921.2</v>
      </c>
      <c r="I195" s="2"/>
      <c r="J195" s="6">
        <f t="shared" si="114"/>
        <v>2.4780634505890036E-3</v>
      </c>
      <c r="K195" s="2"/>
      <c r="L195" s="7">
        <f t="shared" si="115"/>
        <v>-2921.2</v>
      </c>
      <c r="M195" s="2"/>
      <c r="N195" s="6">
        <f t="shared" si="116"/>
        <v>-1</v>
      </c>
      <c r="O195" s="11"/>
      <c r="P195" s="7">
        <v>3430.32</v>
      </c>
      <c r="Q195" s="2"/>
      <c r="R195" s="6">
        <f t="shared" si="117"/>
        <v>7.7667307634633048E-4</v>
      </c>
      <c r="S195" s="2"/>
      <c r="T195" s="7">
        <v>34299.03</v>
      </c>
      <c r="U195" s="2"/>
      <c r="V195" s="6">
        <f t="shared" si="118"/>
        <v>8.8457962577711009E-3</v>
      </c>
      <c r="W195" s="2"/>
      <c r="X195" s="7">
        <f t="shared" si="119"/>
        <v>-30868.71</v>
      </c>
      <c r="Y195" s="2"/>
      <c r="Z195" s="6">
        <f t="shared" si="120"/>
        <v>-0.89998784222177708</v>
      </c>
    </row>
    <row r="196" spans="1:26" s="24" customFormat="1" hidden="1" outlineLevel="2" x14ac:dyDescent="0.3">
      <c r="A196" s="27"/>
      <c r="B196" s="11" t="str">
        <f>CONCATENATE("          ", "6237", " - ", "JANITORIAL SUPPLIES")</f>
        <v xml:space="preserve">          6237 - JANITORIAL SUPPLIES</v>
      </c>
      <c r="C196" s="11"/>
      <c r="D196" s="7">
        <v>665.03</v>
      </c>
      <c r="E196" s="2"/>
      <c r="F196" s="6">
        <f t="shared" si="113"/>
        <v>8.8018835551689539E-4</v>
      </c>
      <c r="G196" s="2"/>
      <c r="H196" s="7">
        <v>329.77</v>
      </c>
      <c r="I196" s="2"/>
      <c r="J196" s="6">
        <f t="shared" si="114"/>
        <v>2.7974496237872647E-4</v>
      </c>
      <c r="K196" s="2"/>
      <c r="L196" s="7">
        <f t="shared" si="115"/>
        <v>335.26</v>
      </c>
      <c r="M196" s="2"/>
      <c r="N196" s="6">
        <f t="shared" si="116"/>
        <v>1.0166479667647148</v>
      </c>
      <c r="O196" s="11"/>
      <c r="P196" s="7">
        <v>4531.17</v>
      </c>
      <c r="Q196" s="2"/>
      <c r="R196" s="6">
        <f t="shared" si="117"/>
        <v>1.0259211220376532E-3</v>
      </c>
      <c r="S196" s="2"/>
      <c r="T196" s="7">
        <v>2263.65</v>
      </c>
      <c r="U196" s="2"/>
      <c r="V196" s="6">
        <f t="shared" si="118"/>
        <v>5.8380037857932293E-4</v>
      </c>
      <c r="W196" s="2"/>
      <c r="X196" s="7">
        <f t="shared" si="119"/>
        <v>2267.52</v>
      </c>
      <c r="Y196" s="2"/>
      <c r="Z196" s="6">
        <f t="shared" si="120"/>
        <v>1.0017096282552513</v>
      </c>
    </row>
    <row r="197" spans="1:26" s="24" customFormat="1" hidden="1" outlineLevel="2" x14ac:dyDescent="0.3">
      <c r="A197" s="27"/>
      <c r="B197" s="11" t="str">
        <f>CONCATENATE("          ", "6241", " - ", "OFFICE EXPENSE")</f>
        <v xml:space="preserve">          6241 - OFFICE EXPENSE</v>
      </c>
      <c r="C197" s="11"/>
      <c r="D197" s="7">
        <v>480.95</v>
      </c>
      <c r="E197" s="2"/>
      <c r="F197" s="6">
        <f t="shared" si="113"/>
        <v>6.3655262106348707E-4</v>
      </c>
      <c r="G197" s="2"/>
      <c r="H197" s="7">
        <v>444.2</v>
      </c>
      <c r="I197" s="2"/>
      <c r="J197" s="6">
        <f t="shared" si="114"/>
        <v>3.7681630314652728E-4</v>
      </c>
      <c r="K197" s="2"/>
      <c r="L197" s="7">
        <f t="shared" si="115"/>
        <v>36.75</v>
      </c>
      <c r="M197" s="2"/>
      <c r="N197" s="6">
        <f t="shared" si="116"/>
        <v>8.2733003151733459E-2</v>
      </c>
      <c r="O197" s="11"/>
      <c r="P197" s="7">
        <v>8877.73</v>
      </c>
      <c r="Q197" s="2"/>
      <c r="R197" s="6">
        <f t="shared" si="117"/>
        <v>2.0100439230369494E-3</v>
      </c>
      <c r="S197" s="2"/>
      <c r="T197" s="7">
        <v>9231.8700000000008</v>
      </c>
      <c r="U197" s="2"/>
      <c r="V197" s="6">
        <f t="shared" si="118"/>
        <v>2.3809198422879395E-3</v>
      </c>
      <c r="W197" s="2"/>
      <c r="X197" s="7">
        <f t="shared" si="119"/>
        <v>-354.14000000000124</v>
      </c>
      <c r="Y197" s="2"/>
      <c r="Z197" s="6">
        <f t="shared" si="120"/>
        <v>-3.8360592166050998E-2</v>
      </c>
    </row>
    <row r="198" spans="1:26" s="24" customFormat="1" hidden="1" outlineLevel="2" x14ac:dyDescent="0.3">
      <c r="A198" s="27"/>
      <c r="B198" s="11" t="str">
        <f>CONCATENATE("          ", "6243", " - ", "PAPER SUPPLIES")</f>
        <v xml:space="preserve">          6243 - PAPER SUPPLIES</v>
      </c>
      <c r="C198" s="11"/>
      <c r="D198" s="7">
        <v>78.34</v>
      </c>
      <c r="E198" s="2"/>
      <c r="F198" s="6">
        <f t="shared" si="113"/>
        <v>1.0368548151390703E-4</v>
      </c>
      <c r="G198" s="2"/>
      <c r="H198" s="7">
        <v>1080</v>
      </c>
      <c r="I198" s="2"/>
      <c r="J198" s="6">
        <f t="shared" si="114"/>
        <v>9.1616750877588802E-4</v>
      </c>
      <c r="K198" s="2"/>
      <c r="L198" s="7">
        <f t="shared" si="115"/>
        <v>-1001.66</v>
      </c>
      <c r="M198" s="2"/>
      <c r="N198" s="6">
        <f t="shared" si="116"/>
        <v>-0.92746296296296293</v>
      </c>
      <c r="O198" s="11"/>
      <c r="P198" s="7">
        <v>4549.24</v>
      </c>
      <c r="Q198" s="2"/>
      <c r="R198" s="6">
        <f t="shared" si="117"/>
        <v>1.030012426198658E-3</v>
      </c>
      <c r="S198" s="2"/>
      <c r="T198" s="7">
        <v>6173.4</v>
      </c>
      <c r="U198" s="2"/>
      <c r="V198" s="6">
        <f t="shared" si="118"/>
        <v>1.5921336147909754E-3</v>
      </c>
      <c r="W198" s="2"/>
      <c r="X198" s="7">
        <f t="shared" si="119"/>
        <v>-1624.1599999999999</v>
      </c>
      <c r="Y198" s="2"/>
      <c r="Z198" s="6">
        <f t="shared" si="120"/>
        <v>-0.26309003142514659</v>
      </c>
    </row>
    <row r="199" spans="1:26" s="24" customFormat="1" hidden="1" outlineLevel="2" x14ac:dyDescent="0.3">
      <c r="A199" s="27"/>
      <c r="B199" s="11" t="str">
        <f>CONCATENATE("          ", "6245", " - ", "PRINTING")</f>
        <v xml:space="preserve">          6245 - PRINTING</v>
      </c>
      <c r="C199" s="11"/>
      <c r="D199" s="7">
        <v>689.76</v>
      </c>
      <c r="E199" s="2"/>
      <c r="F199" s="6">
        <f t="shared" si="113"/>
        <v>9.1291929702619996E-4</v>
      </c>
      <c r="G199" s="2"/>
      <c r="H199" s="7"/>
      <c r="I199" s="2"/>
      <c r="J199" s="6">
        <f t="shared" si="114"/>
        <v>0</v>
      </c>
      <c r="K199" s="2"/>
      <c r="L199" s="7">
        <f t="shared" si="115"/>
        <v>689.76</v>
      </c>
      <c r="M199" s="2"/>
      <c r="N199" s="6">
        <f t="shared" si="116"/>
        <v>0</v>
      </c>
      <c r="O199" s="11"/>
      <c r="P199" s="7">
        <v>2801.74</v>
      </c>
      <c r="Q199" s="2"/>
      <c r="R199" s="6">
        <f t="shared" si="117"/>
        <v>6.3435365357242702E-4</v>
      </c>
      <c r="S199" s="2"/>
      <c r="T199" s="7">
        <v>508.27</v>
      </c>
      <c r="U199" s="2"/>
      <c r="V199" s="6">
        <f t="shared" si="118"/>
        <v>1.3108396546308504E-4</v>
      </c>
      <c r="W199" s="2"/>
      <c r="X199" s="7">
        <f t="shared" si="119"/>
        <v>2293.4699999999998</v>
      </c>
      <c r="Y199" s="2"/>
      <c r="Z199" s="6">
        <f t="shared" si="120"/>
        <v>4.5123064512955713</v>
      </c>
    </row>
    <row r="200" spans="1:26" s="24" customFormat="1" hidden="1" outlineLevel="2" x14ac:dyDescent="0.3">
      <c r="A200" s="27"/>
      <c r="B200" s="11" t="str">
        <f>CONCATENATE("          ", "6247", " - ", "STORE SUPPLIES")</f>
        <v xml:space="preserve">          6247 - STORE SUPPLIES</v>
      </c>
      <c r="C200" s="11"/>
      <c r="D200" s="7">
        <v>2022.48</v>
      </c>
      <c r="E200" s="2"/>
      <c r="F200" s="6">
        <f t="shared" si="113"/>
        <v>2.6768166026582422E-3</v>
      </c>
      <c r="G200" s="2"/>
      <c r="H200" s="7">
        <v>8504.83</v>
      </c>
      <c r="I200" s="2"/>
      <c r="J200" s="6">
        <f t="shared" si="114"/>
        <v>7.2146749200578102E-3</v>
      </c>
      <c r="K200" s="2"/>
      <c r="L200" s="7">
        <f t="shared" si="115"/>
        <v>-6482.35</v>
      </c>
      <c r="M200" s="2"/>
      <c r="N200" s="6">
        <f t="shared" si="116"/>
        <v>-0.76219630492320256</v>
      </c>
      <c r="O200" s="11"/>
      <c r="P200" s="7">
        <v>27173.58</v>
      </c>
      <c r="Q200" s="2"/>
      <c r="R200" s="6">
        <f t="shared" si="117"/>
        <v>6.15248372569997E-3</v>
      </c>
      <c r="S200" s="2"/>
      <c r="T200" s="7">
        <v>38579.22</v>
      </c>
      <c r="U200" s="2"/>
      <c r="V200" s="6">
        <f t="shared" si="118"/>
        <v>9.9496667953504238E-3</v>
      </c>
      <c r="W200" s="2"/>
      <c r="X200" s="7">
        <f t="shared" si="119"/>
        <v>-11405.64</v>
      </c>
      <c r="Y200" s="2"/>
      <c r="Z200" s="6">
        <f t="shared" si="120"/>
        <v>-0.29564205808204519</v>
      </c>
    </row>
    <row r="201" spans="1:26" s="29" customFormat="1" outlineLevel="1" collapsed="1" x14ac:dyDescent="0.3">
      <c r="A201" s="28"/>
      <c r="B201" s="14" t="str">
        <f>CONCATENATE("     ","Telephone/Data Lines                              ")</f>
        <v xml:space="preserve">     Telephone/Data Lines                              </v>
      </c>
      <c r="C201" s="14"/>
      <c r="D201" s="1">
        <f>SUM(OSRRefD22_21x_0)</f>
        <v>2288.73</v>
      </c>
      <c r="E201" s="1"/>
      <c r="F201" s="5">
        <f t="shared" ref="F201:F203" si="121">IF(D$12=0,0,D201/D$12)</f>
        <v>3.0292069454343172E-3</v>
      </c>
      <c r="G201" s="1"/>
      <c r="H201" s="1">
        <f>SUM(OSRRefH22_21x_0)</f>
        <v>2161.81</v>
      </c>
      <c r="I201" s="1"/>
      <c r="J201" s="5">
        <f t="shared" ref="J201:J203" si="122">IF(H$12=0,0,H201/H$12)</f>
        <v>1.8338704464322243E-3</v>
      </c>
      <c r="K201" s="1"/>
      <c r="L201" s="1">
        <f t="shared" ref="L201:L203" si="123">+D201-H201</f>
        <v>126.92000000000007</v>
      </c>
      <c r="M201" s="1"/>
      <c r="N201" s="5">
        <f t="shared" ref="N201:N203" si="124">IF(H201=0,0,L201/H201)</f>
        <v>5.8710062401413667E-2</v>
      </c>
      <c r="O201" s="14"/>
      <c r="P201" s="1">
        <f>SUM(OSRRefP22_21x_0)</f>
        <v>12947.59</v>
      </c>
      <c r="Q201" s="1"/>
      <c r="R201" s="5">
        <f t="shared" ref="R201:R203" si="125">IF(P$12=0,0,P201/P$12)</f>
        <v>2.9315179215265589E-3</v>
      </c>
      <c r="S201" s="1"/>
      <c r="T201" s="1">
        <f>SUM(OSRRefT22_21x_0)</f>
        <v>17190</v>
      </c>
      <c r="U201" s="1"/>
      <c r="V201" s="5">
        <f t="shared" ref="V201:V203" si="126">IF(T$12=0,0,T201/T$12)</f>
        <v>4.4333393005891193E-3</v>
      </c>
      <c r="W201" s="1"/>
      <c r="X201" s="1">
        <f t="shared" ref="X201:X203" si="127">+P201-T201</f>
        <v>-4242.41</v>
      </c>
      <c r="Y201" s="1"/>
      <c r="Z201" s="5">
        <f t="shared" ref="Z201:Z203" si="128">IF(T201=0,0,X201/T201)</f>
        <v>-0.24679522978475857</v>
      </c>
    </row>
    <row r="202" spans="1:26" s="24" customFormat="1" hidden="1" outlineLevel="2" x14ac:dyDescent="0.3">
      <c r="A202" s="27"/>
      <c r="B202" s="11" t="str">
        <f>CONCATENATE("          ", "6303", " - ", "DATA PHONE LINES")</f>
        <v xml:space="preserve">          6303 - DATA PHONE LINES</v>
      </c>
      <c r="C202" s="11"/>
      <c r="D202" s="7"/>
      <c r="E202" s="2"/>
      <c r="F202" s="6">
        <f t="shared" si="121"/>
        <v>0</v>
      </c>
      <c r="G202" s="2"/>
      <c r="H202" s="7">
        <v>295</v>
      </c>
      <c r="I202" s="2"/>
      <c r="J202" s="6">
        <f t="shared" si="122"/>
        <v>2.5024945841563609E-4</v>
      </c>
      <c r="K202" s="2"/>
      <c r="L202" s="7">
        <f t="shared" si="123"/>
        <v>-295</v>
      </c>
      <c r="M202" s="2"/>
      <c r="N202" s="6">
        <f t="shared" si="124"/>
        <v>-1</v>
      </c>
      <c r="O202" s="11"/>
      <c r="P202" s="7">
        <v>295</v>
      </c>
      <c r="Q202" s="2"/>
      <c r="R202" s="6">
        <f t="shared" si="125"/>
        <v>6.6792181931180617E-5</v>
      </c>
      <c r="S202" s="2"/>
      <c r="T202" s="7">
        <v>2360</v>
      </c>
      <c r="U202" s="2"/>
      <c r="V202" s="6">
        <f t="shared" si="126"/>
        <v>6.0864925825423631E-4</v>
      </c>
      <c r="W202" s="2"/>
      <c r="X202" s="7">
        <f t="shared" si="127"/>
        <v>-2065</v>
      </c>
      <c r="Y202" s="2"/>
      <c r="Z202" s="6">
        <f t="shared" si="128"/>
        <v>-0.875</v>
      </c>
    </row>
    <row r="203" spans="1:26" s="24" customFormat="1" hidden="1" outlineLevel="2" x14ac:dyDescent="0.3">
      <c r="A203" s="27"/>
      <c r="B203" s="11" t="str">
        <f>CONCATENATE("          ", "6309", " - ", "TELEPHONE")</f>
        <v xml:space="preserve">          6309 - TELEPHONE</v>
      </c>
      <c r="C203" s="11"/>
      <c r="D203" s="7">
        <v>2288.73</v>
      </c>
      <c r="E203" s="2"/>
      <c r="F203" s="6">
        <f t="shared" si="121"/>
        <v>3.0292069454343172E-3</v>
      </c>
      <c r="G203" s="2"/>
      <c r="H203" s="7">
        <v>1866.81</v>
      </c>
      <c r="I203" s="2"/>
      <c r="J203" s="6">
        <f t="shared" si="122"/>
        <v>1.5836209880165882E-3</v>
      </c>
      <c r="K203" s="2"/>
      <c r="L203" s="7">
        <f t="shared" si="123"/>
        <v>421.92000000000007</v>
      </c>
      <c r="M203" s="2"/>
      <c r="N203" s="6">
        <f t="shared" si="124"/>
        <v>0.22601121699583787</v>
      </c>
      <c r="O203" s="11"/>
      <c r="P203" s="7">
        <v>12652.59</v>
      </c>
      <c r="Q203" s="2"/>
      <c r="R203" s="6">
        <f t="shared" si="125"/>
        <v>2.8647257395953783E-3</v>
      </c>
      <c r="S203" s="2"/>
      <c r="T203" s="7">
        <v>14830</v>
      </c>
      <c r="U203" s="2"/>
      <c r="V203" s="6">
        <f t="shared" si="126"/>
        <v>3.8246900423348834E-3</v>
      </c>
      <c r="W203" s="2"/>
      <c r="X203" s="7">
        <f t="shared" si="127"/>
        <v>-2177.41</v>
      </c>
      <c r="Y203" s="2"/>
      <c r="Z203" s="6">
        <f t="shared" si="128"/>
        <v>-0.1468246797033041</v>
      </c>
    </row>
    <row r="204" spans="1:26" s="29" customFormat="1" outlineLevel="1" collapsed="1" x14ac:dyDescent="0.3">
      <c r="A204" s="28"/>
      <c r="B204" s="14" t="str">
        <f>CONCATENATE("     ","Training                                          ")</f>
        <v xml:space="preserve">     Training                                          </v>
      </c>
      <c r="C204" s="14"/>
      <c r="D204" s="1">
        <f>SUM(OSRRefD22_22x_0)</f>
        <v>0</v>
      </c>
      <c r="E204" s="1"/>
      <c r="F204" s="5">
        <f t="shared" ref="F204:F209" si="129">IF(D$12=0,0,D204/D$12)</f>
        <v>0</v>
      </c>
      <c r="G204" s="1"/>
      <c r="H204" s="1">
        <f>SUM(OSRRefH22_22x_0)</f>
        <v>0</v>
      </c>
      <c r="I204" s="1"/>
      <c r="J204" s="5">
        <f t="shared" ref="J204:J209" si="130">IF(H$12=0,0,H204/H$12)</f>
        <v>0</v>
      </c>
      <c r="K204" s="1"/>
      <c r="L204" s="1">
        <f t="shared" ref="L204:L209" si="131">+D204-H204</f>
        <v>0</v>
      </c>
      <c r="M204" s="1"/>
      <c r="N204" s="5">
        <f t="shared" ref="N204:N209" si="132">IF(H204=0,0,L204/H204)</f>
        <v>0</v>
      </c>
      <c r="O204" s="14"/>
      <c r="P204" s="1">
        <f>SUM(OSRRefP22_22x_0)</f>
        <v>595</v>
      </c>
      <c r="Q204" s="1"/>
      <c r="R204" s="5">
        <f t="shared" ref="R204:R209" si="133">IF(P$12=0,0,P204/P$12)</f>
        <v>1.3471643474255074E-4</v>
      </c>
      <c r="S204" s="1"/>
      <c r="T204" s="1">
        <f>SUM(OSRRefT22_22x_0)</f>
        <v>145.63</v>
      </c>
      <c r="U204" s="1"/>
      <c r="V204" s="5">
        <f t="shared" ref="V204:V209" si="134">IF(T$12=0,0,T204/T$12)</f>
        <v>3.755830147439171E-5</v>
      </c>
      <c r="W204" s="1"/>
      <c r="X204" s="1">
        <f t="shared" ref="X204:X209" si="135">+P204-T204</f>
        <v>449.37</v>
      </c>
      <c r="Y204" s="1"/>
      <c r="Z204" s="5">
        <f t="shared" ref="Z204:Z209" si="136">IF(T204=0,0,X204/T204)</f>
        <v>3.085696628441942</v>
      </c>
    </row>
    <row r="205" spans="1:26" s="24" customFormat="1" hidden="1" outlineLevel="2" x14ac:dyDescent="0.3">
      <c r="A205" s="27"/>
      <c r="B205" s="11" t="str">
        <f>CONCATENATE("          ", "6376", " - ", "TRAINING")</f>
        <v xml:space="preserve">          6376 - TRAINING</v>
      </c>
      <c r="C205" s="11"/>
      <c r="D205" s="7"/>
      <c r="E205" s="2"/>
      <c r="F205" s="6">
        <f t="shared" si="129"/>
        <v>0</v>
      </c>
      <c r="G205" s="2"/>
      <c r="H205" s="7"/>
      <c r="I205" s="2"/>
      <c r="J205" s="6">
        <f t="shared" si="130"/>
        <v>0</v>
      </c>
      <c r="K205" s="2"/>
      <c r="L205" s="7">
        <f t="shared" si="131"/>
        <v>0</v>
      </c>
      <c r="M205" s="2"/>
      <c r="N205" s="6">
        <f t="shared" si="132"/>
        <v>0</v>
      </c>
      <c r="O205" s="11"/>
      <c r="P205" s="7">
        <v>595</v>
      </c>
      <c r="Q205" s="2"/>
      <c r="R205" s="6">
        <f t="shared" si="133"/>
        <v>1.3471643474255074E-4</v>
      </c>
      <c r="S205" s="2"/>
      <c r="T205" s="7">
        <v>145.63</v>
      </c>
      <c r="U205" s="2"/>
      <c r="V205" s="6">
        <f t="shared" si="134"/>
        <v>3.755830147439171E-5</v>
      </c>
      <c r="W205" s="2"/>
      <c r="X205" s="7">
        <f t="shared" si="135"/>
        <v>449.37</v>
      </c>
      <c r="Y205" s="2"/>
      <c r="Z205" s="6">
        <f t="shared" si="136"/>
        <v>3.085696628441942</v>
      </c>
    </row>
    <row r="206" spans="1:26" s="29" customFormat="1" outlineLevel="1" collapsed="1" x14ac:dyDescent="0.3">
      <c r="A206" s="28"/>
      <c r="B206" s="14" t="str">
        <f>CONCATENATE("     ","Travel                                            ")</f>
        <v xml:space="preserve">     Travel                                            </v>
      </c>
      <c r="C206" s="14"/>
      <c r="D206" s="1">
        <f>SUM(OSRRefD22_23x_0)</f>
        <v>0</v>
      </c>
      <c r="E206" s="1"/>
      <c r="F206" s="5">
        <f t="shared" si="129"/>
        <v>0</v>
      </c>
      <c r="G206" s="1"/>
      <c r="H206" s="1">
        <f>SUM(OSRRefH22_23x_0)</f>
        <v>129.38</v>
      </c>
      <c r="I206" s="1"/>
      <c r="J206" s="5">
        <f t="shared" si="130"/>
        <v>1.0975347433835591E-4</v>
      </c>
      <c r="K206" s="1"/>
      <c r="L206" s="1">
        <f t="shared" si="131"/>
        <v>-129.38</v>
      </c>
      <c r="M206" s="1"/>
      <c r="N206" s="5">
        <f t="shared" si="132"/>
        <v>-1</v>
      </c>
      <c r="O206" s="14"/>
      <c r="P206" s="1">
        <f>SUM(OSRRefP22_23x_0)</f>
        <v>882.0100000000001</v>
      </c>
      <c r="Q206" s="1"/>
      <c r="R206" s="5">
        <f t="shared" si="133"/>
        <v>1.9969956740718855E-4</v>
      </c>
      <c r="S206" s="1"/>
      <c r="T206" s="1">
        <f>SUM(OSRRefT22_23x_0)</f>
        <v>810.31000000000006</v>
      </c>
      <c r="U206" s="1"/>
      <c r="V206" s="5">
        <f t="shared" si="134"/>
        <v>2.0898075443050434E-4</v>
      </c>
      <c r="W206" s="1"/>
      <c r="X206" s="1">
        <f t="shared" si="135"/>
        <v>71.700000000000045</v>
      </c>
      <c r="Y206" s="1"/>
      <c r="Z206" s="5">
        <f t="shared" si="136"/>
        <v>8.8484654021300541E-2</v>
      </c>
    </row>
    <row r="207" spans="1:26" s="24" customFormat="1" hidden="1" outlineLevel="2" x14ac:dyDescent="0.3">
      <c r="A207" s="27"/>
      <c r="B207" s="11" t="str">
        <f>CONCATENATE("          ", "6292", " - ", "TRAVEL/CONFERENCE")</f>
        <v xml:space="preserve">          6292 - TRAVEL/CONFERENCE</v>
      </c>
      <c r="C207" s="11"/>
      <c r="D207" s="7"/>
      <c r="E207" s="2"/>
      <c r="F207" s="6">
        <f t="shared" si="129"/>
        <v>0</v>
      </c>
      <c r="G207" s="2"/>
      <c r="H207" s="7"/>
      <c r="I207" s="2"/>
      <c r="J207" s="6">
        <f t="shared" si="130"/>
        <v>0</v>
      </c>
      <c r="K207" s="2"/>
      <c r="L207" s="7">
        <f t="shared" si="131"/>
        <v>0</v>
      </c>
      <c r="M207" s="2"/>
      <c r="N207" s="6">
        <f t="shared" si="132"/>
        <v>0</v>
      </c>
      <c r="O207" s="11"/>
      <c r="P207" s="7">
        <v>495</v>
      </c>
      <c r="Q207" s="2"/>
      <c r="R207" s="6">
        <f t="shared" si="133"/>
        <v>1.1207501713876069E-4</v>
      </c>
      <c r="S207" s="2"/>
      <c r="T207" s="7">
        <v>299.16000000000003</v>
      </c>
      <c r="U207" s="2"/>
      <c r="V207" s="6">
        <f t="shared" si="134"/>
        <v>7.7154030550566675E-5</v>
      </c>
      <c r="W207" s="2"/>
      <c r="X207" s="7">
        <f t="shared" si="135"/>
        <v>195.83999999999997</v>
      </c>
      <c r="Y207" s="2"/>
      <c r="Z207" s="6">
        <f t="shared" si="136"/>
        <v>0.65463297232250284</v>
      </c>
    </row>
    <row r="208" spans="1:26" s="24" customFormat="1" hidden="1" outlineLevel="2" x14ac:dyDescent="0.3">
      <c r="A208" s="27"/>
      <c r="B208" s="11" t="str">
        <f>CONCATENATE("          ", "6294", " - ", "TRAVEL OPERATIONAL")</f>
        <v xml:space="preserve">          6294 - TRAVEL OPERATIONAL</v>
      </c>
      <c r="C208" s="11"/>
      <c r="D208" s="7"/>
      <c r="E208" s="2"/>
      <c r="F208" s="6">
        <f t="shared" si="129"/>
        <v>0</v>
      </c>
      <c r="G208" s="2"/>
      <c r="H208" s="7">
        <v>129.38</v>
      </c>
      <c r="I208" s="2"/>
      <c r="J208" s="6">
        <f t="shared" si="130"/>
        <v>1.0975347433835591E-4</v>
      </c>
      <c r="K208" s="2"/>
      <c r="L208" s="7">
        <f t="shared" si="131"/>
        <v>-129.38</v>
      </c>
      <c r="M208" s="2"/>
      <c r="N208" s="6">
        <f t="shared" si="132"/>
        <v>-1</v>
      </c>
      <c r="O208" s="11"/>
      <c r="P208" s="7">
        <v>239.93</v>
      </c>
      <c r="Q208" s="2"/>
      <c r="R208" s="6">
        <f t="shared" si="133"/>
        <v>5.4323553256773445E-5</v>
      </c>
      <c r="S208" s="2"/>
      <c r="T208" s="7">
        <v>451.26</v>
      </c>
      <c r="U208" s="2"/>
      <c r="V208" s="6">
        <f t="shared" si="134"/>
        <v>1.1638095944059604E-4</v>
      </c>
      <c r="W208" s="2"/>
      <c r="X208" s="7">
        <f t="shared" si="135"/>
        <v>-211.32999999999998</v>
      </c>
      <c r="Y208" s="2"/>
      <c r="Z208" s="6">
        <f t="shared" si="136"/>
        <v>-0.46831095155786018</v>
      </c>
    </row>
    <row r="209" spans="1:26" s="24" customFormat="1" hidden="1" outlineLevel="2" x14ac:dyDescent="0.3">
      <c r="A209" s="27"/>
      <c r="B209" s="11" t="str">
        <f>CONCATENATE("          ", "6298", " - ", "VEHICLE MILEAGE")</f>
        <v xml:space="preserve">          6298 - VEHICLE MILEAGE</v>
      </c>
      <c r="C209" s="11"/>
      <c r="D209" s="7"/>
      <c r="E209" s="2"/>
      <c r="F209" s="6">
        <f t="shared" si="129"/>
        <v>0</v>
      </c>
      <c r="G209" s="2"/>
      <c r="H209" s="7"/>
      <c r="I209" s="2"/>
      <c r="J209" s="6">
        <f t="shared" si="130"/>
        <v>0</v>
      </c>
      <c r="K209" s="2"/>
      <c r="L209" s="7">
        <f t="shared" si="131"/>
        <v>0</v>
      </c>
      <c r="M209" s="2"/>
      <c r="N209" s="6">
        <f t="shared" si="132"/>
        <v>0</v>
      </c>
      <c r="O209" s="11"/>
      <c r="P209" s="7">
        <v>147.08000000000001</v>
      </c>
      <c r="Q209" s="2"/>
      <c r="R209" s="6">
        <f t="shared" si="133"/>
        <v>3.3300997011654391E-5</v>
      </c>
      <c r="S209" s="2"/>
      <c r="T209" s="7">
        <v>59.89</v>
      </c>
      <c r="U209" s="2"/>
      <c r="V209" s="6">
        <f t="shared" si="134"/>
        <v>1.5445764439341616E-5</v>
      </c>
      <c r="W209" s="2"/>
      <c r="X209" s="7">
        <f t="shared" si="135"/>
        <v>87.190000000000012</v>
      </c>
      <c r="Y209" s="2"/>
      <c r="Z209" s="6">
        <f t="shared" si="136"/>
        <v>1.455835698781099</v>
      </c>
    </row>
    <row r="210" spans="1:26" s="29" customFormat="1" outlineLevel="1" collapsed="1" x14ac:dyDescent="0.3">
      <c r="A210" s="28"/>
      <c r="B210" s="14" t="str">
        <f>CONCATENATE("     ","Utilities                                         ")</f>
        <v xml:space="preserve">     Utilities                                         </v>
      </c>
      <c r="C210" s="14"/>
      <c r="D210" s="1">
        <f>SUM(OSRRefD22_24x_0)</f>
        <v>6292.91</v>
      </c>
      <c r="E210" s="1"/>
      <c r="F210" s="5">
        <f t="shared" ref="F210:F211" si="137">IF(D$12=0,0,D210/D$12)</f>
        <v>8.3288665237896426E-3</v>
      </c>
      <c r="G210" s="1"/>
      <c r="H210" s="1">
        <f>SUM(OSRRefH22_24x_0)</f>
        <v>6165.61</v>
      </c>
      <c r="I210" s="1"/>
      <c r="J210" s="5">
        <f t="shared" ref="J210:J211" si="138">IF(H$12=0,0,H210/H$12)</f>
        <v>5.2303069942441693E-3</v>
      </c>
      <c r="K210" s="1"/>
      <c r="L210" s="1">
        <f t="shared" ref="L210:L211" si="139">+D210-H210</f>
        <v>127.30000000000018</v>
      </c>
      <c r="M210" s="1"/>
      <c r="N210" s="5">
        <f t="shared" ref="N210:N211" si="140">IF(H210=0,0,L210/H210)</f>
        <v>2.0646781097085315E-2</v>
      </c>
      <c r="O210" s="14"/>
      <c r="P210" s="1">
        <f>SUM(OSRRefP22_24x_0)</f>
        <v>36539.42</v>
      </c>
      <c r="Q210" s="1"/>
      <c r="R210" s="5">
        <f t="shared" ref="R210:R211" si="141">IF(P$12=0,0,P210/P$12)</f>
        <v>8.2730426722027791E-3</v>
      </c>
      <c r="S210" s="1"/>
      <c r="T210" s="1">
        <f>SUM(OSRRefT22_24x_0)</f>
        <v>42927.03</v>
      </c>
      <c r="U210" s="1"/>
      <c r="V210" s="5">
        <f t="shared" ref="V210:V211" si="142">IF(T$12=0,0,T210/T$12)</f>
        <v>1.1070976681592097E-2</v>
      </c>
      <c r="W210" s="1"/>
      <c r="X210" s="1">
        <f t="shared" ref="X210:X211" si="143">+P210-T210</f>
        <v>-6387.6100000000006</v>
      </c>
      <c r="Y210" s="1"/>
      <c r="Z210" s="5">
        <f t="shared" ref="Z210:Z211" si="144">IF(T210=0,0,X210/T210)</f>
        <v>-0.1488015825925996</v>
      </c>
    </row>
    <row r="211" spans="1:26" s="24" customFormat="1" hidden="1" outlineLevel="2" x14ac:dyDescent="0.3">
      <c r="A211" s="27"/>
      <c r="B211" s="11" t="str">
        <f>CONCATENATE("          ", "6274", " - ", "UTILITIES")</f>
        <v xml:space="preserve">          6274 - UTILITIES</v>
      </c>
      <c r="C211" s="11"/>
      <c r="D211" s="7">
        <v>6292.91</v>
      </c>
      <c r="E211" s="2"/>
      <c r="F211" s="6">
        <f t="shared" si="137"/>
        <v>8.3288665237896426E-3</v>
      </c>
      <c r="G211" s="2"/>
      <c r="H211" s="7">
        <v>6165.61</v>
      </c>
      <c r="I211" s="2"/>
      <c r="J211" s="6">
        <f t="shared" si="138"/>
        <v>5.2303069942441693E-3</v>
      </c>
      <c r="K211" s="2"/>
      <c r="L211" s="7">
        <f t="shared" si="139"/>
        <v>127.30000000000018</v>
      </c>
      <c r="M211" s="2"/>
      <c r="N211" s="6">
        <f t="shared" si="140"/>
        <v>2.0646781097085315E-2</v>
      </c>
      <c r="O211" s="11"/>
      <c r="P211" s="7">
        <v>36539.42</v>
      </c>
      <c r="Q211" s="2"/>
      <c r="R211" s="6">
        <f t="shared" si="141"/>
        <v>8.2730426722027791E-3</v>
      </c>
      <c r="S211" s="2"/>
      <c r="T211" s="7">
        <v>42927.03</v>
      </c>
      <c r="U211" s="2"/>
      <c r="V211" s="6">
        <f t="shared" si="142"/>
        <v>1.1070976681592097E-2</v>
      </c>
      <c r="W211" s="2"/>
      <c r="X211" s="7">
        <f t="shared" si="143"/>
        <v>-6387.6100000000006</v>
      </c>
      <c r="Y211" s="2"/>
      <c r="Z211" s="6">
        <f t="shared" si="144"/>
        <v>-0.1488015825925996</v>
      </c>
    </row>
    <row r="212" spans="1:26" s="52" customFormat="1" x14ac:dyDescent="0.3">
      <c r="A212" s="37"/>
      <c r="B212" s="37"/>
      <c r="C212" s="37"/>
      <c r="D212" s="1"/>
      <c r="E212" s="1"/>
      <c r="F212" s="5"/>
      <c r="G212" s="1"/>
      <c r="H212" s="1"/>
      <c r="I212" s="1"/>
      <c r="J212" s="5"/>
      <c r="K212" s="1"/>
      <c r="L212" s="1"/>
      <c r="M212" s="1"/>
      <c r="N212" s="5"/>
      <c r="O212" s="37"/>
      <c r="P212" s="1"/>
      <c r="Q212" s="1"/>
      <c r="R212" s="5"/>
      <c r="S212" s="1"/>
      <c r="T212" s="1"/>
      <c r="U212" s="1"/>
      <c r="V212" s="5"/>
      <c r="W212" s="1"/>
      <c r="X212" s="1"/>
      <c r="Y212" s="1"/>
      <c r="Z212" s="5"/>
    </row>
    <row r="213" spans="1:26" s="23" customFormat="1" collapsed="1" x14ac:dyDescent="0.3">
      <c r="A213" s="10"/>
      <c r="B213" s="26" t="s">
        <v>292</v>
      </c>
      <c r="C213" s="10"/>
      <c r="D213" s="4">
        <f>SUM(OSRRefD25x_0)</f>
        <v>45989.700000000004</v>
      </c>
      <c r="E213" s="4"/>
      <c r="F213" s="12">
        <f t="shared" ref="F213:F217" si="145">IF(D$12=0,0,D213/D$12)</f>
        <v>6.0868830599695306E-2</v>
      </c>
      <c r="G213" s="4"/>
      <c r="H213" s="4">
        <f>SUM(OSRRefH25x_0)</f>
        <v>31989.34</v>
      </c>
      <c r="I213" s="4"/>
      <c r="J213" s="12">
        <f t="shared" ref="J213:J217" si="146">IF(H$12=0,0,H213/H$12)</f>
        <v>2.7136661051097098E-2</v>
      </c>
      <c r="K213" s="4"/>
      <c r="L213" s="4">
        <f t="shared" ref="L213:L217" si="147">+D213-H213</f>
        <v>14000.360000000004</v>
      </c>
      <c r="M213" s="4"/>
      <c r="N213" s="12">
        <f t="shared" ref="N213:N217" si="148">IF(H213=0,0,L213/H213)</f>
        <v>0.43765704450295018</v>
      </c>
      <c r="O213" s="10"/>
      <c r="P213" s="4">
        <f>SUM(OSRRefP25x_0)</f>
        <v>515898.42</v>
      </c>
      <c r="Q213" s="4"/>
      <c r="R213" s="12">
        <f t="shared" ref="R213:R217" si="149">IF(P$12=0,0,P213/P$12)</f>
        <v>0.11680671568355468</v>
      </c>
      <c r="S213" s="4"/>
      <c r="T213" s="4">
        <f>SUM(OSRRefT25x_0)</f>
        <v>576378.61</v>
      </c>
      <c r="U213" s="4"/>
      <c r="V213" s="12">
        <f t="shared" ref="V213:V217" si="150">IF(T$12=0,0,T213/T$12)</f>
        <v>0.1486493277330965</v>
      </c>
      <c r="W213" s="4"/>
      <c r="X213" s="4">
        <f t="shared" ref="X213:X217" si="151">+P213-T213</f>
        <v>-60480.19</v>
      </c>
      <c r="Y213" s="4"/>
      <c r="Z213" s="12">
        <f t="shared" ref="Z213:Z217" si="152">IF(T213=0,0,X213/T213)</f>
        <v>-0.10493135753250803</v>
      </c>
    </row>
    <row r="214" spans="1:26" s="24" customFormat="1" hidden="1" outlineLevel="1" x14ac:dyDescent="0.3">
      <c r="A214" s="44"/>
      <c r="B214" s="11" t="str">
        <f>CONCATENATE("          ", "9150", " - ", "MISC. INCOME")</f>
        <v xml:space="preserve">          9150 - MISC. INCOME</v>
      </c>
      <c r="C214" s="11"/>
      <c r="D214" s="2">
        <f>--35637.01</f>
        <v>35637.01</v>
      </c>
      <c r="E214" s="2"/>
      <c r="F214" s="19">
        <f t="shared" si="145"/>
        <v>4.7166716129256062E-2</v>
      </c>
      <c r="G214" s="2"/>
      <c r="H214" s="2">
        <f>--29871.01</f>
        <v>29871.01</v>
      </c>
      <c r="I214" s="2"/>
      <c r="J214" s="19">
        <f t="shared" si="146"/>
        <v>2.533967482992559E-2</v>
      </c>
      <c r="K214" s="2"/>
      <c r="L214" s="2">
        <f t="shared" si="147"/>
        <v>5766.0000000000036</v>
      </c>
      <c r="M214" s="2"/>
      <c r="N214" s="19">
        <f t="shared" si="148"/>
        <v>0.19302996450404603</v>
      </c>
      <c r="O214" s="11"/>
      <c r="P214" s="2">
        <f>--261207.07</f>
        <v>261207.07</v>
      </c>
      <c r="Q214" s="2"/>
      <c r="R214" s="19">
        <f t="shared" si="149"/>
        <v>5.9140983529324176E-2</v>
      </c>
      <c r="S214" s="2"/>
      <c r="T214" s="2">
        <f>--248483.12</f>
        <v>248483.12</v>
      </c>
      <c r="U214" s="2"/>
      <c r="V214" s="19">
        <f t="shared" si="150"/>
        <v>6.4084350286736605E-2</v>
      </c>
      <c r="W214" s="2"/>
      <c r="X214" s="2">
        <f t="shared" si="151"/>
        <v>12723.950000000012</v>
      </c>
      <c r="Y214" s="2"/>
      <c r="Z214" s="19">
        <f t="shared" si="152"/>
        <v>5.120649644128749E-2</v>
      </c>
    </row>
    <row r="215" spans="1:26" s="24" customFormat="1" hidden="1" outlineLevel="1" x14ac:dyDescent="0.3">
      <c r="A215" s="44"/>
      <c r="B215" s="11" t="str">
        <f>CONCATENATE("          ", "9151", " - ", "MISC. INCOME")</f>
        <v xml:space="preserve">          9151 - MISC. INCOME</v>
      </c>
      <c r="C215" s="11"/>
      <c r="D215" s="2">
        <f>--2958.75</f>
        <v>2958.75</v>
      </c>
      <c r="E215" s="2"/>
      <c r="F215" s="19">
        <f t="shared" si="145"/>
        <v>3.915999724652443E-3</v>
      </c>
      <c r="G215" s="2"/>
      <c r="H215" s="2">
        <f>--1972</f>
        <v>1972</v>
      </c>
      <c r="I215" s="2"/>
      <c r="J215" s="19">
        <f t="shared" si="146"/>
        <v>1.6728540067648622E-3</v>
      </c>
      <c r="K215" s="2"/>
      <c r="L215" s="2">
        <f t="shared" si="147"/>
        <v>986.75</v>
      </c>
      <c r="M215" s="2"/>
      <c r="N215" s="19">
        <f t="shared" si="148"/>
        <v>0.50038032454361059</v>
      </c>
      <c r="O215" s="11"/>
      <c r="P215" s="2">
        <f>--171422.11</f>
        <v>171422.11</v>
      </c>
      <c r="Q215" s="2"/>
      <c r="R215" s="19">
        <f t="shared" si="149"/>
        <v>3.8812395790328323E-2</v>
      </c>
      <c r="S215" s="2"/>
      <c r="T215" s="2">
        <f>--149257.39</f>
        <v>149257.39000000001</v>
      </c>
      <c r="U215" s="2"/>
      <c r="V215" s="19">
        <f t="shared" si="150"/>
        <v>3.8493813437484439E-2</v>
      </c>
      <c r="W215" s="2"/>
      <c r="X215" s="2">
        <f t="shared" si="151"/>
        <v>22164.719999999972</v>
      </c>
      <c r="Y215" s="2"/>
      <c r="Z215" s="19">
        <f t="shared" si="152"/>
        <v>0.14849998381989643</v>
      </c>
    </row>
    <row r="216" spans="1:26" s="24" customFormat="1" hidden="1" outlineLevel="1" x14ac:dyDescent="0.3">
      <c r="A216" s="44"/>
      <c r="B216" s="11" t="str">
        <f>CONCATENATE("          ", "9152", " - ", "MISC. INCOME")</f>
        <v xml:space="preserve">          9152 - MISC. INCOME</v>
      </c>
      <c r="C216" s="11"/>
      <c r="D216" s="2">
        <f>--366.44</f>
        <v>366.44</v>
      </c>
      <c r="E216" s="2"/>
      <c r="F216" s="19">
        <f t="shared" si="145"/>
        <v>4.8499499420418804E-4</v>
      </c>
      <c r="G216" s="2"/>
      <c r="H216" s="2">
        <f>--146.33</f>
        <v>146.33000000000001</v>
      </c>
      <c r="I216" s="2"/>
      <c r="J216" s="19">
        <f t="shared" si="146"/>
        <v>1.2413221440664416E-4</v>
      </c>
      <c r="K216" s="2"/>
      <c r="L216" s="2">
        <f t="shared" si="147"/>
        <v>220.10999999999999</v>
      </c>
      <c r="M216" s="2"/>
      <c r="N216" s="19">
        <f t="shared" si="148"/>
        <v>1.5042028292216221</v>
      </c>
      <c r="O216" s="11"/>
      <c r="P216" s="2">
        <f>--3493.54</f>
        <v>3493.54</v>
      </c>
      <c r="Q216" s="2"/>
      <c r="R216" s="19">
        <f t="shared" si="149"/>
        <v>7.9098698055544655E-4</v>
      </c>
      <c r="S216" s="2"/>
      <c r="T216" s="2">
        <f>--3232.26</f>
        <v>3232.26</v>
      </c>
      <c r="U216" s="2"/>
      <c r="V216" s="19">
        <f t="shared" si="150"/>
        <v>8.3360705571391437E-4</v>
      </c>
      <c r="W216" s="2"/>
      <c r="X216" s="2">
        <f t="shared" si="151"/>
        <v>261.27999999999975</v>
      </c>
      <c r="Y216" s="2"/>
      <c r="Z216" s="19">
        <f t="shared" si="152"/>
        <v>8.0835081336278564E-2</v>
      </c>
    </row>
    <row r="217" spans="1:26" s="24" customFormat="1" hidden="1" outlineLevel="1" x14ac:dyDescent="0.3">
      <c r="A217" s="44"/>
      <c r="B217" s="11" t="str">
        <f>CONCATENATE("          ", "9163", " - ", "MISC. INCOME")</f>
        <v xml:space="preserve">          9163 - MISC. INCOME</v>
      </c>
      <c r="C217" s="11"/>
      <c r="D217" s="2">
        <f>--7027.5</f>
        <v>7027.5</v>
      </c>
      <c r="E217" s="2"/>
      <c r="F217" s="19">
        <f t="shared" si="145"/>
        <v>9.3011197515826087E-3</v>
      </c>
      <c r="G217" s="2"/>
      <c r="H217" s="2">
        <f>0</f>
        <v>0</v>
      </c>
      <c r="I217" s="2"/>
      <c r="J217" s="19">
        <f t="shared" si="146"/>
        <v>0</v>
      </c>
      <c r="K217" s="2"/>
      <c r="L217" s="2">
        <f t="shared" si="147"/>
        <v>7027.5</v>
      </c>
      <c r="M217" s="2"/>
      <c r="N217" s="19">
        <f t="shared" si="148"/>
        <v>0</v>
      </c>
      <c r="O217" s="11"/>
      <c r="P217" s="2">
        <f>--79775.7</f>
        <v>79775.7</v>
      </c>
      <c r="Q217" s="2"/>
      <c r="R217" s="19">
        <f t="shared" si="149"/>
        <v>1.8062349383346731E-2</v>
      </c>
      <c r="S217" s="2"/>
      <c r="T217" s="2">
        <f>--175405.84</f>
        <v>175405.84</v>
      </c>
      <c r="U217" s="2"/>
      <c r="V217" s="19">
        <f t="shared" si="150"/>
        <v>4.5237556953161548E-2</v>
      </c>
      <c r="W217" s="2"/>
      <c r="X217" s="2">
        <f t="shared" si="151"/>
        <v>-95630.14</v>
      </c>
      <c r="Y217" s="2"/>
      <c r="Z217" s="19">
        <f t="shared" si="152"/>
        <v>-0.54519359218598429</v>
      </c>
    </row>
    <row r="218" spans="1:26" x14ac:dyDescent="0.3">
      <c r="A218" s="9"/>
      <c r="B218" s="10"/>
      <c r="C218" s="10"/>
      <c r="D218" s="3"/>
      <c r="E218" s="3"/>
      <c r="F218" s="8"/>
      <c r="G218" s="3"/>
      <c r="H218" s="3"/>
      <c r="I218" s="3"/>
      <c r="J218" s="8"/>
      <c r="K218" s="3"/>
      <c r="L218" s="3"/>
      <c r="M218" s="3"/>
      <c r="N218" s="8"/>
      <c r="O218" s="10"/>
      <c r="P218" s="3"/>
      <c r="Q218" s="3"/>
      <c r="R218" s="8"/>
      <c r="S218" s="3"/>
      <c r="T218" s="3"/>
      <c r="U218" s="3"/>
      <c r="V218" s="8"/>
      <c r="W218" s="3"/>
      <c r="X218" s="3"/>
      <c r="Y218" s="3"/>
      <c r="Z218" s="8"/>
    </row>
    <row r="219" spans="1:26" s="23" customFormat="1" x14ac:dyDescent="0.3">
      <c r="A219" s="10"/>
      <c r="B219" s="25" t="s">
        <v>276</v>
      </c>
      <c r="C219" s="25"/>
      <c r="D219" s="21">
        <f>+D121-D123+D213</f>
        <v>-7590.8499999999258</v>
      </c>
      <c r="E219" s="13"/>
      <c r="F219" s="22">
        <f>IF(D$12=0,0,D219/D$12)</f>
        <v>-1.0046731393283551E-2</v>
      </c>
      <c r="G219" s="13"/>
      <c r="H219" s="21">
        <f>+H121-H123+H213</f>
        <v>140249.45999999982</v>
      </c>
      <c r="I219" s="13"/>
      <c r="J219" s="22">
        <f>IF(H$12=0,0,H219/H$12)</f>
        <v>0.11897407256978092</v>
      </c>
      <c r="K219" s="15"/>
      <c r="L219" s="21">
        <f>+D219-H219</f>
        <v>-147840.30999999974</v>
      </c>
      <c r="M219" s="15"/>
      <c r="N219" s="22">
        <f>IF(H219=0,0,L219/H219)</f>
        <v>-1.0541239160564322</v>
      </c>
      <c r="O219" s="26"/>
      <c r="P219" s="21">
        <f>+P121-P123+P213</f>
        <v>43849.560000000114</v>
      </c>
      <c r="Q219" s="13"/>
      <c r="R219" s="22">
        <f>IF(P$12=0,0,P219/P$12)</f>
        <v>9.9281619970245025E-3</v>
      </c>
      <c r="S219" s="13"/>
      <c r="T219" s="21">
        <f>+T121-T123+T213</f>
        <v>41204.789999999921</v>
      </c>
      <c r="U219" s="13"/>
      <c r="V219" s="22">
        <f>IF(T$12=0,0,T219/T$12)</f>
        <v>1.0626807148314205E-2</v>
      </c>
      <c r="W219" s="15"/>
      <c r="X219" s="21">
        <f>+P219-T219</f>
        <v>2644.7700000001932</v>
      </c>
      <c r="Y219" s="15"/>
      <c r="Z219" s="22">
        <f>IF(T219=0,0,X219/T219)</f>
        <v>6.4185984202326921E-2</v>
      </c>
    </row>
    <row r="220" spans="1:26" x14ac:dyDescent="0.3">
      <c r="A220" s="9"/>
      <c r="B220" s="10"/>
      <c r="C220" s="9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x14ac:dyDescent="0.3">
      <c r="A221" s="51"/>
      <c r="B221" s="10" t="s">
        <v>127</v>
      </c>
      <c r="C221" s="10"/>
      <c r="D221" s="4">
        <v>143931.79</v>
      </c>
      <c r="E221" s="4"/>
      <c r="F221" s="12">
        <f>IF(D$12=0,0,D221/D$12)</f>
        <v>0.19049830165060694</v>
      </c>
      <c r="G221" s="4"/>
      <c r="H221" s="4">
        <v>204556.79999999999</v>
      </c>
      <c r="I221" s="4"/>
      <c r="J221" s="12">
        <f>IF(H$12=0,0,H221/H$12)</f>
        <v>0.17352619801774774</v>
      </c>
      <c r="K221" s="4"/>
      <c r="L221" s="4">
        <f>+D221-H221</f>
        <v>-60625.00999999998</v>
      </c>
      <c r="M221" s="4"/>
      <c r="N221" s="12">
        <f>IF(H221=0,0,L221/H221)</f>
        <v>-0.29637249898316742</v>
      </c>
      <c r="O221" s="10"/>
      <c r="P221" s="4">
        <v>584624.99</v>
      </c>
      <c r="Q221" s="4"/>
      <c r="R221" s="12">
        <f>IF(P$12=0,0,P221/P$12)</f>
        <v>0.13236738540201576</v>
      </c>
      <c r="S221" s="4"/>
      <c r="T221" s="4">
        <v>703857.65</v>
      </c>
      <c r="U221" s="4"/>
      <c r="V221" s="12">
        <f>IF(T$12=0,0,T221/T$12)</f>
        <v>0.18152645618180926</v>
      </c>
      <c r="W221" s="4"/>
      <c r="X221" s="4">
        <f>+P221-T221</f>
        <v>-119232.66000000003</v>
      </c>
      <c r="Y221" s="4"/>
      <c r="Z221" s="12">
        <f>IF(T221=0,0,X221/T221)</f>
        <v>-0.16939882659512193</v>
      </c>
    </row>
    <row r="222" spans="1:26" x14ac:dyDescent="0.3">
      <c r="A222" s="9"/>
      <c r="B222" s="10"/>
      <c r="C222" s="10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O222" s="10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s="23" customFormat="1" ht="15" thickBot="1" x14ac:dyDescent="0.35">
      <c r="A223" s="10"/>
      <c r="B223" s="25" t="s">
        <v>125</v>
      </c>
      <c r="C223" s="25"/>
      <c r="D223" s="36">
        <f>+D219-D221</f>
        <v>-151522.63999999993</v>
      </c>
      <c r="E223" s="13"/>
      <c r="F223" s="31">
        <f>IF(D$12=0,0,D223/D$12)</f>
        <v>-0.20054503304389049</v>
      </c>
      <c r="G223" s="13"/>
      <c r="H223" s="36">
        <f>+H219-H221</f>
        <v>-64307.340000000171</v>
      </c>
      <c r="I223" s="13"/>
      <c r="J223" s="31">
        <f>IF(H$12=0,0,H223/H$12)</f>
        <v>-5.4552125447966823E-2</v>
      </c>
      <c r="K223" s="15"/>
      <c r="L223" s="36">
        <f>D223-H223</f>
        <v>-87215.299999999756</v>
      </c>
      <c r="M223" s="15"/>
      <c r="N223" s="31">
        <f>IF(H223=0,0,L223/H223)</f>
        <v>1.3562262099474107</v>
      </c>
      <c r="O223" s="26"/>
      <c r="P223" s="36">
        <f>+P219-P221</f>
        <v>-540775.42999999993</v>
      </c>
      <c r="Q223" s="13"/>
      <c r="R223" s="31">
        <f>IF(P$12=0,0,P223/P$12)</f>
        <v>-0.12243922340499128</v>
      </c>
      <c r="S223" s="13"/>
      <c r="T223" s="36">
        <f>+T219-T221</f>
        <v>-662652.8600000001</v>
      </c>
      <c r="U223" s="13"/>
      <c r="V223" s="31">
        <f>IF(T$12=0,0,T223/T$12)</f>
        <v>-0.17089964903349505</v>
      </c>
      <c r="W223" s="15"/>
      <c r="X223" s="36">
        <f>P223-T223</f>
        <v>121877.43000000017</v>
      </c>
      <c r="Y223" s="15"/>
      <c r="Z223" s="31">
        <f>IF(T223=0,0,X223/T223)</f>
        <v>-0.18392349502573663</v>
      </c>
    </row>
    <row r="224" spans="1:26" ht="15" thickTop="1" x14ac:dyDescent="0.3">
      <c r="A224" s="9"/>
      <c r="B224" s="9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x14ac:dyDescent="0.3">
      <c r="A225" s="9"/>
      <c r="B225" s="9"/>
      <c r="C225" s="9"/>
      <c r="D225" s="3"/>
      <c r="E225" s="3"/>
      <c r="F225" s="8"/>
      <c r="G225" s="3"/>
      <c r="H225" s="3"/>
      <c r="I225" s="3"/>
      <c r="J225" s="8"/>
      <c r="K225" s="3"/>
      <c r="L225" s="3"/>
      <c r="M225" s="3"/>
      <c r="N225" s="8"/>
      <c r="P225" s="3"/>
      <c r="Q225" s="3"/>
      <c r="R225" s="8"/>
      <c r="S225" s="3"/>
      <c r="T225" s="3"/>
      <c r="U225" s="3"/>
      <c r="V225" s="8"/>
      <c r="W225" s="3"/>
      <c r="X225" s="3"/>
      <c r="Y225" s="3"/>
      <c r="Z225" s="8"/>
    </row>
    <row r="226" spans="1:26" s="23" customFormat="1" ht="15" thickBot="1" x14ac:dyDescent="0.35">
      <c r="A226" s="10"/>
      <c r="B226" s="25" t="s">
        <v>293</v>
      </c>
      <c r="C226" s="25"/>
      <c r="D226" s="35">
        <f>SUM(D223:D225)</f>
        <v>-151522.63999999993</v>
      </c>
      <c r="E226" s="13"/>
      <c r="F226" s="32">
        <f>IF(D$12=0,0,D226/D$12)</f>
        <v>-0.20054503304389049</v>
      </c>
      <c r="G226" s="13"/>
      <c r="H226" s="35">
        <f>SUM(H223:H225)</f>
        <v>-64307.340000000171</v>
      </c>
      <c r="I226" s="13"/>
      <c r="J226" s="32">
        <f>IF(H$12=0,0,H226/H$12)</f>
        <v>-5.4552125447966823E-2</v>
      </c>
      <c r="K226" s="15"/>
      <c r="L226" s="35">
        <f>+D226-H226</f>
        <v>-87215.299999999756</v>
      </c>
      <c r="M226" s="15"/>
      <c r="N226" s="32">
        <f>IF(H226=0,0,L226/H226)</f>
        <v>1.3562262099474107</v>
      </c>
      <c r="O226" s="26"/>
      <c r="P226" s="35">
        <f>SUM(P223:P225)</f>
        <v>-540775.42999999993</v>
      </c>
      <c r="Q226" s="13"/>
      <c r="R226" s="32">
        <f>IF(P$12=0,0,P226/P$12)</f>
        <v>-0.12243922340499128</v>
      </c>
      <c r="S226" s="13"/>
      <c r="T226" s="35">
        <f>SUM(T223:T225)</f>
        <v>-662652.8600000001</v>
      </c>
      <c r="U226" s="13"/>
      <c r="V226" s="32">
        <f>IF(T$12=0,0,T226/T$12)</f>
        <v>-0.17089964903349505</v>
      </c>
      <c r="W226" s="15"/>
      <c r="X226" s="35">
        <f>+P226-T226</f>
        <v>121877.43000000017</v>
      </c>
      <c r="Y226" s="15"/>
      <c r="Z226" s="32">
        <f>IF(T226=0,0,X226/T226)</f>
        <v>-0.18392349502573663</v>
      </c>
    </row>
    <row r="227" spans="1:26" ht="15" thickTop="1" x14ac:dyDescent="0.3">
      <c r="A227" s="9"/>
      <c r="C227" s="9"/>
      <c r="D227" s="17"/>
      <c r="E227" s="17"/>
      <c r="G227" s="17"/>
      <c r="H227" s="17"/>
      <c r="I227" s="17"/>
      <c r="J227" s="42"/>
      <c r="K227" s="17"/>
      <c r="L227" s="17"/>
      <c r="M227" s="17"/>
      <c r="P227" s="17"/>
      <c r="Q227" s="17"/>
      <c r="R227" s="42"/>
      <c r="S227" s="17"/>
      <c r="T227" s="17"/>
      <c r="U227" s="17"/>
      <c r="V227" s="42"/>
      <c r="W227" s="17"/>
      <c r="X227" s="17"/>
    </row>
    <row r="228" spans="1:26" x14ac:dyDescent="0.3">
      <c r="A228" s="9"/>
      <c r="B228" s="54">
        <v>44604.028422025462</v>
      </c>
      <c r="D228" s="17"/>
      <c r="E228" s="17"/>
      <c r="G228" s="17"/>
      <c r="H228" s="17"/>
      <c r="I228" s="17"/>
      <c r="J228" s="42"/>
      <c r="K228" s="17"/>
      <c r="L228" s="17"/>
      <c r="M228" s="17"/>
      <c r="P228" s="17"/>
      <c r="Q228" s="17"/>
      <c r="R228" s="42"/>
      <c r="S228" s="17"/>
      <c r="T228" s="17"/>
      <c r="U228" s="17"/>
      <c r="V228" s="42"/>
      <c r="W228" s="17"/>
      <c r="X228" s="17"/>
    </row>
    <row r="229" spans="1:26" x14ac:dyDescent="0.3">
      <c r="A229" s="9"/>
      <c r="B229" s="53" t="s">
        <v>56</v>
      </c>
      <c r="D229" s="17"/>
      <c r="E229" s="17"/>
      <c r="G229" s="17"/>
      <c r="H229" s="17"/>
      <c r="I229" s="17"/>
      <c r="J229" s="42"/>
      <c r="K229" s="17"/>
      <c r="L229" s="17"/>
      <c r="M229" s="17"/>
      <c r="P229" s="17"/>
      <c r="Q229" s="17"/>
      <c r="R229" s="42"/>
      <c r="S229" s="17"/>
      <c r="T229" s="17"/>
      <c r="U229" s="17"/>
      <c r="V229" s="42"/>
      <c r="W229" s="17"/>
      <c r="X229" s="17"/>
    </row>
    <row r="230" spans="1:26" x14ac:dyDescent="0.3">
      <c r="A230" s="9"/>
      <c r="B230" s="59"/>
      <c r="D230" s="17"/>
      <c r="E230" s="17"/>
      <c r="G230" s="17"/>
      <c r="H230" s="17"/>
      <c r="I230" s="17"/>
      <c r="J230" s="42"/>
      <c r="K230" s="17"/>
      <c r="L230" s="17"/>
      <c r="M230" s="17"/>
      <c r="P230" s="17"/>
      <c r="Q230" s="17"/>
      <c r="R230" s="42"/>
      <c r="S230" s="17"/>
      <c r="T230" s="17"/>
      <c r="U230" s="17"/>
      <c r="V230" s="42"/>
      <c r="W230" s="17"/>
      <c r="X230" s="17"/>
    </row>
    <row r="231" spans="1:26" x14ac:dyDescent="0.3">
      <c r="D231" s="17"/>
      <c r="E231" s="17"/>
      <c r="G231" s="17"/>
      <c r="H231" s="17"/>
      <c r="I231" s="17"/>
      <c r="J231" s="42"/>
      <c r="K231" s="17"/>
      <c r="L231" s="17"/>
      <c r="M231" s="17"/>
      <c r="P231" s="17"/>
      <c r="Q231" s="17"/>
      <c r="R231" s="42"/>
      <c r="S231" s="17"/>
      <c r="T231" s="17"/>
      <c r="U231" s="17"/>
      <c r="V231" s="42"/>
      <c r="W231" s="17"/>
      <c r="X231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911331.49</v>
      </c>
      <c r="E12" s="4"/>
      <c r="F12" s="12"/>
      <c r="G12" s="4"/>
      <c r="H12" s="4">
        <f>SUM(OSRRefH13x_0)</f>
        <v>1308015.5400000003</v>
      </c>
      <c r="I12" s="4"/>
      <c r="J12" s="12"/>
      <c r="K12" s="4"/>
      <c r="L12" s="4">
        <f t="shared" ref="L12:L91" si="0">+D12-H12</f>
        <v>-396684.05000000028</v>
      </c>
      <c r="M12" s="4"/>
      <c r="N12" s="12">
        <f t="shared" ref="N12:N91" si="1">IF(H12=0,0,L12/H12)</f>
        <v>-0.30327166449413911</v>
      </c>
      <c r="O12" s="10"/>
      <c r="P12" s="4">
        <f>SUM(OSRRefP13x_0)</f>
        <v>5539111.6799999997</v>
      </c>
      <c r="Q12" s="4"/>
      <c r="R12" s="12"/>
      <c r="S12" s="4"/>
      <c r="T12" s="4">
        <f>SUM(OSRRefT13x_0)</f>
        <v>5281974.7199999988</v>
      </c>
      <c r="U12" s="4"/>
      <c r="V12" s="12"/>
      <c r="W12" s="4"/>
      <c r="X12" s="4">
        <f t="shared" ref="X12:X91" si="2">+P12-T12</f>
        <v>257136.96000000089</v>
      </c>
      <c r="Y12" s="4"/>
      <c r="Z12" s="12">
        <f t="shared" ref="Z12:Z91" si="3">IF(T12=0,0,X12/T12)</f>
        <v>4.8681974759621903E-2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--746168.21</f>
        <v>746168.21</v>
      </c>
      <c r="E13" s="2"/>
      <c r="F13" s="19"/>
      <c r="G13" s="2"/>
      <c r="H13" s="2">
        <f>-12518.13</f>
        <v>-12518.13</v>
      </c>
      <c r="I13" s="2"/>
      <c r="J13" s="19"/>
      <c r="K13" s="2"/>
      <c r="L13" s="2">
        <f t="shared" si="0"/>
        <v>758686.34</v>
      </c>
      <c r="M13" s="2"/>
      <c r="N13" s="19">
        <f t="shared" si="1"/>
        <v>-60.607002803134336</v>
      </c>
      <c r="O13" s="11"/>
      <c r="P13" s="2">
        <f>--4677350.67</f>
        <v>4677350.67</v>
      </c>
      <c r="Q13" s="2"/>
      <c r="R13" s="19"/>
      <c r="S13" s="2"/>
      <c r="T13" s="2">
        <f>-103655.99</f>
        <v>-103655.99</v>
      </c>
      <c r="U13" s="2"/>
      <c r="V13" s="19"/>
      <c r="W13" s="2"/>
      <c r="X13" s="2">
        <f t="shared" si="2"/>
        <v>4781006.66</v>
      </c>
      <c r="Y13" s="2"/>
      <c r="Z13" s="19">
        <f t="shared" si="3"/>
        <v>-46.123785610460139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--459430.32</f>
        <v>459430.32</v>
      </c>
      <c r="I14" s="2"/>
      <c r="J14" s="19"/>
      <c r="K14" s="2"/>
      <c r="L14" s="2">
        <f t="shared" si="0"/>
        <v>-459430.32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--1190096.34</f>
        <v>1190096.3400000001</v>
      </c>
      <c r="U14" s="2"/>
      <c r="V14" s="19"/>
      <c r="W14" s="2"/>
      <c r="X14" s="2">
        <f t="shared" si="2"/>
        <v>-1190096.3400000001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--238947.44</f>
        <v>238947.44</v>
      </c>
      <c r="I15" s="2"/>
      <c r="J15" s="19"/>
      <c r="K15" s="2"/>
      <c r="L15" s="2">
        <f t="shared" si="0"/>
        <v>-238947.44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--562401.5</f>
        <v>562401.5</v>
      </c>
      <c r="U15" s="2"/>
      <c r="V15" s="19"/>
      <c r="W15" s="2"/>
      <c r="X15" s="2">
        <f t="shared" si="2"/>
        <v>-562401.5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--34.62</f>
        <v>34.619999999999997</v>
      </c>
      <c r="I21" s="2"/>
      <c r="J21" s="19"/>
      <c r="K21" s="2"/>
      <c r="L21" s="2">
        <f t="shared" si="0"/>
        <v>-34.619999999999997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--407</f>
        <v>407</v>
      </c>
      <c r="U21" s="2"/>
      <c r="V21" s="19"/>
      <c r="W21" s="2"/>
      <c r="X21" s="2">
        <f t="shared" si="2"/>
        <v>-407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--8701.79</f>
        <v>8701.7900000000009</v>
      </c>
      <c r="I22" s="2"/>
      <c r="J22" s="19"/>
      <c r="K22" s="2"/>
      <c r="L22" s="2">
        <f t="shared" si="0"/>
        <v>-8701.7900000000009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--48676.22</f>
        <v>48676.22</v>
      </c>
      <c r="U22" s="2"/>
      <c r="V22" s="19"/>
      <c r="W22" s="2"/>
      <c r="X22" s="2">
        <f t="shared" si="2"/>
        <v>-48676.22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--21773.01</f>
        <v>21773.01</v>
      </c>
      <c r="I23" s="2"/>
      <c r="J23" s="19"/>
      <c r="K23" s="2"/>
      <c r="L23" s="2">
        <f t="shared" si="0"/>
        <v>-21773.01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--38951.82</f>
        <v>38951.82</v>
      </c>
      <c r="U23" s="2"/>
      <c r="V23" s="19"/>
      <c r="W23" s="2"/>
      <c r="X23" s="2">
        <f t="shared" si="2"/>
        <v>-38951.82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--477.59</f>
        <v>477.59</v>
      </c>
      <c r="I24" s="2"/>
      <c r="J24" s="19"/>
      <c r="K24" s="2"/>
      <c r="L24" s="2">
        <f t="shared" si="0"/>
        <v>-477.59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--2587.24</f>
        <v>2587.2399999999998</v>
      </c>
      <c r="U24" s="2"/>
      <c r="V24" s="19"/>
      <c r="W24" s="2"/>
      <c r="X24" s="2">
        <f t="shared" si="2"/>
        <v>-2587.2399999999998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--89991.91</f>
        <v>89991.91</v>
      </c>
      <c r="I26" s="2"/>
      <c r="J26" s="19"/>
      <c r="K26" s="2"/>
      <c r="L26" s="2">
        <f t="shared" si="0"/>
        <v>-89991.91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--598102.9</f>
        <v>598102.9</v>
      </c>
      <c r="U26" s="2"/>
      <c r="V26" s="19"/>
      <c r="W26" s="2"/>
      <c r="X26" s="2">
        <f t="shared" si="2"/>
        <v>-598102.9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--51480.95</f>
        <v>51480.95</v>
      </c>
      <c r="I27" s="2"/>
      <c r="J27" s="19"/>
      <c r="K27" s="2"/>
      <c r="L27" s="2">
        <f t="shared" si="0"/>
        <v>-51480.95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--249099.27</f>
        <v>249099.27</v>
      </c>
      <c r="U27" s="2"/>
      <c r="V27" s="19"/>
      <c r="W27" s="2"/>
      <c r="X27" s="2">
        <f t="shared" si="2"/>
        <v>-249099.27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--9303.18</f>
        <v>9303.18</v>
      </c>
      <c r="I28" s="2"/>
      <c r="J28" s="19"/>
      <c r="K28" s="2"/>
      <c r="L28" s="2">
        <f t="shared" si="0"/>
        <v>-9303.18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--74200.88</f>
        <v>74200.88</v>
      </c>
      <c r="U28" s="2"/>
      <c r="V28" s="19"/>
      <c r="W28" s="2"/>
      <c r="X28" s="2">
        <f t="shared" si="2"/>
        <v>-74200.88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--24845.66</f>
        <v>24845.66</v>
      </c>
      <c r="I29" s="2"/>
      <c r="J29" s="19"/>
      <c r="K29" s="2"/>
      <c r="L29" s="2">
        <f t="shared" si="0"/>
        <v>-24845.66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--117954.81</f>
        <v>117954.81</v>
      </c>
      <c r="U29" s="2"/>
      <c r="V29" s="19"/>
      <c r="W29" s="2"/>
      <c r="X29" s="2">
        <f t="shared" si="2"/>
        <v>-117954.81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--1261.95</f>
        <v>1261.95</v>
      </c>
      <c r="I30" s="2"/>
      <c r="J30" s="19"/>
      <c r="K30" s="2"/>
      <c r="L30" s="2">
        <f t="shared" si="0"/>
        <v>-1261.95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--27535.62</f>
        <v>27535.62</v>
      </c>
      <c r="U30" s="2"/>
      <c r="V30" s="19"/>
      <c r="W30" s="2"/>
      <c r="X30" s="2">
        <f t="shared" si="2"/>
        <v>-27535.62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--3388.52</f>
        <v>3388.52</v>
      </c>
      <c r="I31" s="2"/>
      <c r="J31" s="19"/>
      <c r="K31" s="2"/>
      <c r="L31" s="2">
        <f t="shared" si="0"/>
        <v>-3388.52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--125449.67</f>
        <v>125449.67</v>
      </c>
      <c r="U31" s="2"/>
      <c r="V31" s="19"/>
      <c r="W31" s="2"/>
      <c r="X31" s="2">
        <f t="shared" si="2"/>
        <v>-125449.67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--2318.54</f>
        <v>2318.54</v>
      </c>
      <c r="I32" s="2"/>
      <c r="J32" s="19"/>
      <c r="K32" s="2"/>
      <c r="L32" s="2">
        <f t="shared" si="0"/>
        <v>-2318.54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--59270.01</f>
        <v>59270.01</v>
      </c>
      <c r="U32" s="2"/>
      <c r="V32" s="19"/>
      <c r="W32" s="2"/>
      <c r="X32" s="2">
        <f t="shared" si="2"/>
        <v>-59270.01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--91766.28</f>
        <v>91766.28</v>
      </c>
      <c r="I33" s="2"/>
      <c r="J33" s="19"/>
      <c r="K33" s="2"/>
      <c r="L33" s="2">
        <f t="shared" si="0"/>
        <v>-91766.28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--1085023.17</f>
        <v>1085023.17</v>
      </c>
      <c r="U33" s="2"/>
      <c r="V33" s="19"/>
      <c r="W33" s="2"/>
      <c r="X33" s="2">
        <f t="shared" si="2"/>
        <v>-1085023.17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--8639.61</f>
        <v>8639.61</v>
      </c>
      <c r="I34" s="2"/>
      <c r="J34" s="19"/>
      <c r="K34" s="2"/>
      <c r="L34" s="2">
        <f t="shared" si="0"/>
        <v>-8639.61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--93287.58</f>
        <v>93287.58</v>
      </c>
      <c r="U34" s="2"/>
      <c r="V34" s="19"/>
      <c r="W34" s="2"/>
      <c r="X34" s="2">
        <f t="shared" si="2"/>
        <v>-93287.58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--149.99</f>
        <v>149.99</v>
      </c>
      <c r="I35" s="2"/>
      <c r="J35" s="19"/>
      <c r="K35" s="2"/>
      <c r="L35" s="2">
        <f t="shared" si="0"/>
        <v>-149.99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--2878.93</f>
        <v>2878.93</v>
      </c>
      <c r="U35" s="2"/>
      <c r="V35" s="19"/>
      <c r="W35" s="2"/>
      <c r="X35" s="2">
        <f t="shared" si="2"/>
        <v>-2878.93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--734.26</f>
        <v>734.26</v>
      </c>
      <c r="I36" s="2"/>
      <c r="J36" s="19"/>
      <c r="K36" s="2"/>
      <c r="L36" s="2">
        <f t="shared" si="0"/>
        <v>-734.26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--57869.84</f>
        <v>57869.84</v>
      </c>
      <c r="U36" s="2"/>
      <c r="V36" s="19"/>
      <c r="W36" s="2"/>
      <c r="X36" s="2">
        <f t="shared" si="2"/>
        <v>-57869.84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--205866.99</f>
        <v>205866.99</v>
      </c>
      <c r="E37" s="2"/>
      <c r="F37" s="19"/>
      <c r="G37" s="2"/>
      <c r="H37" s="2">
        <f>--112968.19</f>
        <v>112968.19</v>
      </c>
      <c r="I37" s="2"/>
      <c r="J37" s="19"/>
      <c r="K37" s="2"/>
      <c r="L37" s="2">
        <f t="shared" si="0"/>
        <v>92898.799999999988</v>
      </c>
      <c r="M37" s="2"/>
      <c r="N37" s="19">
        <f t="shared" si="1"/>
        <v>0.82234476802717638</v>
      </c>
      <c r="O37" s="11"/>
      <c r="P37" s="2">
        <f>--1273233.51</f>
        <v>1273233.51</v>
      </c>
      <c r="Q37" s="2"/>
      <c r="R37" s="19"/>
      <c r="S37" s="2"/>
      <c r="T37" s="2">
        <f>--278555.86</f>
        <v>278555.86</v>
      </c>
      <c r="U37" s="2"/>
      <c r="V37" s="19"/>
      <c r="W37" s="2"/>
      <c r="X37" s="2">
        <f t="shared" si="2"/>
        <v>994677.65</v>
      </c>
      <c r="Y37" s="2"/>
      <c r="Z37" s="19">
        <f t="shared" si="3"/>
        <v>3.5708372819728154</v>
      </c>
    </row>
    <row r="38" spans="1:26" s="24" customFormat="1" hidden="1" outlineLevel="1" x14ac:dyDescent="0.3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64" si="6">0</f>
        <v>0</v>
      </c>
      <c r="E38" s="2"/>
      <c r="F38" s="19"/>
      <c r="G38" s="2"/>
      <c r="H38" s="2">
        <f>--22084.7</f>
        <v>22084.7</v>
      </c>
      <c r="I38" s="2"/>
      <c r="J38" s="19"/>
      <c r="K38" s="2"/>
      <c r="L38" s="2">
        <f t="shared" si="0"/>
        <v>-22084.7</v>
      </c>
      <c r="M38" s="2"/>
      <c r="N38" s="19">
        <f t="shared" si="1"/>
        <v>-1</v>
      </c>
      <c r="O38" s="11"/>
      <c r="P38" s="2">
        <f t="shared" ref="P38:P64" si="7">0</f>
        <v>0</v>
      </c>
      <c r="Q38" s="2"/>
      <c r="R38" s="19"/>
      <c r="S38" s="2"/>
      <c r="T38" s="2">
        <f>--104225.63</f>
        <v>104225.63</v>
      </c>
      <c r="U38" s="2"/>
      <c r="V38" s="19"/>
      <c r="W38" s="2"/>
      <c r="X38" s="2">
        <f t="shared" si="2"/>
        <v>-104225.63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6"/>
        <v>0</v>
      </c>
      <c r="E39" s="2"/>
      <c r="F39" s="19"/>
      <c r="G39" s="2"/>
      <c r="H39" s="2">
        <f>--9330.01</f>
        <v>9330.01</v>
      </c>
      <c r="I39" s="2"/>
      <c r="J39" s="19"/>
      <c r="K39" s="2"/>
      <c r="L39" s="2">
        <f t="shared" si="0"/>
        <v>-9330.01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--42961.32</f>
        <v>42961.32</v>
      </c>
      <c r="U39" s="2"/>
      <c r="V39" s="19"/>
      <c r="W39" s="2"/>
      <c r="X39" s="2">
        <f t="shared" si="2"/>
        <v>-42961.32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 t="shared" si="6"/>
        <v>0</v>
      </c>
      <c r="E40" s="2"/>
      <c r="F40" s="19"/>
      <c r="G40" s="2"/>
      <c r="H40" s="2">
        <f>--853.98</f>
        <v>853.98</v>
      </c>
      <c r="I40" s="2"/>
      <c r="J40" s="19"/>
      <c r="K40" s="2"/>
      <c r="L40" s="2">
        <f t="shared" si="0"/>
        <v>-853.98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--1138.95</f>
        <v>1138.95</v>
      </c>
      <c r="U40" s="2"/>
      <c r="V40" s="19"/>
      <c r="W40" s="2"/>
      <c r="X40" s="2">
        <f t="shared" si="2"/>
        <v>-1138.95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 t="shared" si="6"/>
        <v>0</v>
      </c>
      <c r="E41" s="2"/>
      <c r="F41" s="19"/>
      <c r="G41" s="2"/>
      <c r="H41" s="2">
        <f>--161977.12</f>
        <v>161977.12</v>
      </c>
      <c r="I41" s="2"/>
      <c r="J41" s="19"/>
      <c r="K41" s="2"/>
      <c r="L41" s="2">
        <f t="shared" si="0"/>
        <v>-161977.12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--458168.13</f>
        <v>458168.13</v>
      </c>
      <c r="U41" s="2"/>
      <c r="V41" s="19"/>
      <c r="W41" s="2"/>
      <c r="X41" s="2">
        <f t="shared" si="2"/>
        <v>-458168.13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 t="shared" si="6"/>
        <v>0</v>
      </c>
      <c r="E42" s="2"/>
      <c r="F42" s="19"/>
      <c r="G42" s="2"/>
      <c r="H42" s="2">
        <f>--4661.75</f>
        <v>4661.75</v>
      </c>
      <c r="I42" s="2"/>
      <c r="J42" s="19"/>
      <c r="K42" s="2"/>
      <c r="L42" s="2">
        <f t="shared" si="0"/>
        <v>-4661.75</v>
      </c>
      <c r="M42" s="2"/>
      <c r="N42" s="19">
        <f t="shared" si="1"/>
        <v>-1</v>
      </c>
      <c r="O42" s="11"/>
      <c r="P42" s="2">
        <f t="shared" si="7"/>
        <v>0</v>
      </c>
      <c r="Q42" s="2"/>
      <c r="R42" s="19"/>
      <c r="S42" s="2"/>
      <c r="T42" s="2">
        <f>--6989.25</f>
        <v>6989.25</v>
      </c>
      <c r="U42" s="2"/>
      <c r="V42" s="19"/>
      <c r="W42" s="2"/>
      <c r="X42" s="2">
        <f t="shared" si="2"/>
        <v>-6989.25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 t="shared" si="6"/>
        <v>0</v>
      </c>
      <c r="E43" s="2"/>
      <c r="F43" s="19"/>
      <c r="G43" s="2"/>
      <c r="H43" s="2">
        <f>--538.3</f>
        <v>538.29999999999995</v>
      </c>
      <c r="I43" s="2"/>
      <c r="J43" s="19"/>
      <c r="K43" s="2"/>
      <c r="L43" s="2">
        <f t="shared" si="0"/>
        <v>-538.29999999999995</v>
      </c>
      <c r="M43" s="2"/>
      <c r="N43" s="19">
        <f t="shared" si="1"/>
        <v>-1</v>
      </c>
      <c r="O43" s="11"/>
      <c r="P43" s="2">
        <f t="shared" si="7"/>
        <v>0</v>
      </c>
      <c r="Q43" s="2"/>
      <c r="R43" s="19"/>
      <c r="S43" s="2"/>
      <c r="T43" s="2">
        <f>--771.73</f>
        <v>771.73</v>
      </c>
      <c r="U43" s="2"/>
      <c r="V43" s="19"/>
      <c r="W43" s="2"/>
      <c r="X43" s="2">
        <f t="shared" si="2"/>
        <v>-771.73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 t="shared" si="6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7"/>
        <v>0</v>
      </c>
      <c r="Q44" s="2"/>
      <c r="R44" s="19"/>
      <c r="S44" s="2"/>
      <c r="T44" s="2">
        <f>--52.68</f>
        <v>52.68</v>
      </c>
      <c r="U44" s="2"/>
      <c r="V44" s="19"/>
      <c r="W44" s="2"/>
      <c r="X44" s="2">
        <f t="shared" si="2"/>
        <v>-52.68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 t="shared" si="6"/>
        <v>0</v>
      </c>
      <c r="E45" s="2"/>
      <c r="F45" s="19"/>
      <c r="G45" s="2"/>
      <c r="H45" s="2">
        <f>--2539.06</f>
        <v>2539.06</v>
      </c>
      <c r="I45" s="2"/>
      <c r="J45" s="19"/>
      <c r="K45" s="2"/>
      <c r="L45" s="2">
        <f t="shared" si="0"/>
        <v>-2539.06</v>
      </c>
      <c r="M45" s="2"/>
      <c r="N45" s="19">
        <f t="shared" si="1"/>
        <v>-1</v>
      </c>
      <c r="O45" s="11"/>
      <c r="P45" s="2">
        <f t="shared" si="7"/>
        <v>0</v>
      </c>
      <c r="Q45" s="2"/>
      <c r="R45" s="19"/>
      <c r="S45" s="2"/>
      <c r="T45" s="2">
        <f>--5745.17</f>
        <v>5745.17</v>
      </c>
      <c r="U45" s="2"/>
      <c r="V45" s="19"/>
      <c r="W45" s="2"/>
      <c r="X45" s="2">
        <f t="shared" si="2"/>
        <v>-5745.17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"4128", " - ", "NON-TAXABLE SALES-ART/TECH")</f>
        <v xml:space="preserve">          4128 - NON-TAXABLE SALES-ART/TECH</v>
      </c>
      <c r="C46" s="11"/>
      <c r="D46" s="2">
        <f t="shared" si="6"/>
        <v>0</v>
      </c>
      <c r="E46" s="2"/>
      <c r="F46" s="19"/>
      <c r="G46" s="2"/>
      <c r="H46" s="2">
        <f>--4.72</f>
        <v>4.72</v>
      </c>
      <c r="I46" s="2"/>
      <c r="J46" s="19"/>
      <c r="K46" s="2"/>
      <c r="L46" s="2">
        <f t="shared" si="0"/>
        <v>-4.72</v>
      </c>
      <c r="M46" s="2"/>
      <c r="N46" s="19">
        <f t="shared" si="1"/>
        <v>-1</v>
      </c>
      <c r="O46" s="11"/>
      <c r="P46" s="2">
        <f t="shared" si="7"/>
        <v>0</v>
      </c>
      <c r="Q46" s="2"/>
      <c r="R46" s="19"/>
      <c r="S46" s="2"/>
      <c r="T46" s="2">
        <f>--29.5</f>
        <v>29.5</v>
      </c>
      <c r="U46" s="2"/>
      <c r="V46" s="19"/>
      <c r="W46" s="2"/>
      <c r="X46" s="2">
        <f t="shared" si="2"/>
        <v>-29.5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"4131", " - ", "NON-TAXABLE SALES-FOOD")</f>
        <v xml:space="preserve">          4131 - NON-TAXABLE SALES-FOOD</v>
      </c>
      <c r="C47" s="11"/>
      <c r="D47" s="2">
        <f t="shared" si="6"/>
        <v>0</v>
      </c>
      <c r="E47" s="2"/>
      <c r="F47" s="19"/>
      <c r="G47" s="2"/>
      <c r="H47" s="2">
        <f>--1098.12</f>
        <v>1098.1199999999999</v>
      </c>
      <c r="I47" s="2"/>
      <c r="J47" s="19"/>
      <c r="K47" s="2"/>
      <c r="L47" s="2">
        <f t="shared" si="0"/>
        <v>-1098.1199999999999</v>
      </c>
      <c r="M47" s="2"/>
      <c r="N47" s="19">
        <f t="shared" si="1"/>
        <v>-1</v>
      </c>
      <c r="O47" s="11"/>
      <c r="P47" s="2">
        <f t="shared" si="7"/>
        <v>0</v>
      </c>
      <c r="Q47" s="2"/>
      <c r="R47" s="19"/>
      <c r="S47" s="2"/>
      <c r="T47" s="2">
        <f>--8640.27</f>
        <v>8640.27</v>
      </c>
      <c r="U47" s="2"/>
      <c r="V47" s="19"/>
      <c r="W47" s="2"/>
      <c r="X47" s="2">
        <f t="shared" si="2"/>
        <v>-8640.27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si="6"/>
        <v>0</v>
      </c>
      <c r="E48" s="2"/>
      <c r="F48" s="19"/>
      <c r="G48" s="2"/>
      <c r="H48" s="2">
        <f t="shared" ref="H48:H51" si="8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7"/>
        <v>0</v>
      </c>
      <c r="Q48" s="2"/>
      <c r="R48" s="19"/>
      <c r="S48" s="2"/>
      <c r="T48" s="2">
        <f>--22.49</f>
        <v>22.49</v>
      </c>
      <c r="U48" s="2"/>
      <c r="V48" s="19"/>
      <c r="W48" s="2"/>
      <c r="X48" s="2">
        <f t="shared" si="2"/>
        <v>-22.49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6"/>
        <v>0</v>
      </c>
      <c r="E49" s="2"/>
      <c r="F49" s="19"/>
      <c r="G49" s="2"/>
      <c r="H49" s="2">
        <f t="shared" si="8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7"/>
        <v>0</v>
      </c>
      <c r="Q49" s="2"/>
      <c r="R49" s="19"/>
      <c r="S49" s="2"/>
      <c r="T49" s="2">
        <f>--80.71</f>
        <v>80.709999999999994</v>
      </c>
      <c r="U49" s="2"/>
      <c r="V49" s="19"/>
      <c r="W49" s="2"/>
      <c r="X49" s="2">
        <f t="shared" si="2"/>
        <v>-80.709999999999994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6"/>
        <v>0</v>
      </c>
      <c r="E50" s="2"/>
      <c r="F50" s="19"/>
      <c r="G50" s="2"/>
      <c r="H50" s="2">
        <f t="shared" si="8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7"/>
        <v>0</v>
      </c>
      <c r="Q50" s="2"/>
      <c r="R50" s="19"/>
      <c r="S50" s="2"/>
      <c r="T50" s="2">
        <f>--45.53</f>
        <v>45.53</v>
      </c>
      <c r="U50" s="2"/>
      <c r="V50" s="19"/>
      <c r="W50" s="2"/>
      <c r="X50" s="2">
        <f t="shared" si="2"/>
        <v>-45.53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6"/>
        <v>0</v>
      </c>
      <c r="E51" s="2"/>
      <c r="F51" s="19"/>
      <c r="G51" s="2"/>
      <c r="H51" s="2">
        <f t="shared" si="8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7"/>
        <v>0</v>
      </c>
      <c r="Q51" s="2"/>
      <c r="R51" s="19"/>
      <c r="S51" s="2"/>
      <c r="T51" s="2">
        <f>--68.25</f>
        <v>68.25</v>
      </c>
      <c r="U51" s="2"/>
      <c r="V51" s="19"/>
      <c r="W51" s="2"/>
      <c r="X51" s="2">
        <f t="shared" si="2"/>
        <v>-68.25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 t="shared" si="6"/>
        <v>0</v>
      </c>
      <c r="E52" s="2"/>
      <c r="F52" s="19"/>
      <c r="G52" s="2"/>
      <c r="H52" s="2">
        <f>--9206.45</f>
        <v>9206.4500000000007</v>
      </c>
      <c r="I52" s="2"/>
      <c r="J52" s="19"/>
      <c r="K52" s="2"/>
      <c r="L52" s="2">
        <f t="shared" si="0"/>
        <v>-9206.4500000000007</v>
      </c>
      <c r="M52" s="2"/>
      <c r="N52" s="19">
        <f t="shared" si="1"/>
        <v>-1</v>
      </c>
      <c r="O52" s="11"/>
      <c r="P52" s="2">
        <f t="shared" si="7"/>
        <v>0</v>
      </c>
      <c r="Q52" s="2"/>
      <c r="R52" s="19"/>
      <c r="S52" s="2"/>
      <c r="T52" s="2">
        <f>--113177.42</f>
        <v>113177.42</v>
      </c>
      <c r="U52" s="2"/>
      <c r="V52" s="19"/>
      <c r="W52" s="2"/>
      <c r="X52" s="2">
        <f t="shared" si="2"/>
        <v>-113177.42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"4141", " - ", "NON-TAXABLE SALES-LOGO GIFTS")</f>
        <v xml:space="preserve">          4141 - NON-TAXABLE SALES-LOGO GIFTS</v>
      </c>
      <c r="C53" s="11"/>
      <c r="D53" s="2">
        <f t="shared" si="6"/>
        <v>0</v>
      </c>
      <c r="E53" s="2"/>
      <c r="F53" s="19"/>
      <c r="G53" s="2"/>
      <c r="H53" s="2">
        <f>--1872.52</f>
        <v>1872.52</v>
      </c>
      <c r="I53" s="2"/>
      <c r="J53" s="19"/>
      <c r="K53" s="2"/>
      <c r="L53" s="2">
        <f t="shared" si="0"/>
        <v>-1872.52</v>
      </c>
      <c r="M53" s="2"/>
      <c r="N53" s="19">
        <f t="shared" si="1"/>
        <v>-1</v>
      </c>
      <c r="O53" s="11"/>
      <c r="P53" s="2">
        <f t="shared" si="7"/>
        <v>0</v>
      </c>
      <c r="Q53" s="2"/>
      <c r="R53" s="19"/>
      <c r="S53" s="2"/>
      <c r="T53" s="2">
        <f>--7841.77</f>
        <v>7841.77</v>
      </c>
      <c r="U53" s="2"/>
      <c r="V53" s="19"/>
      <c r="W53" s="2"/>
      <c r="X53" s="2">
        <f t="shared" si="2"/>
        <v>-7841.77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 t="shared" si="6"/>
        <v>0</v>
      </c>
      <c r="E54" s="2"/>
      <c r="F54" s="19"/>
      <c r="G54" s="2"/>
      <c r="H54" s="2">
        <f>--51.7</f>
        <v>51.7</v>
      </c>
      <c r="I54" s="2"/>
      <c r="J54" s="19"/>
      <c r="K54" s="2"/>
      <c r="L54" s="2">
        <f t="shared" si="0"/>
        <v>-51.7</v>
      </c>
      <c r="M54" s="2"/>
      <c r="N54" s="19">
        <f t="shared" si="1"/>
        <v>-1</v>
      </c>
      <c r="O54" s="11"/>
      <c r="P54" s="2">
        <f t="shared" si="7"/>
        <v>0</v>
      </c>
      <c r="Q54" s="2"/>
      <c r="R54" s="19"/>
      <c r="S54" s="2"/>
      <c r="T54" s="2">
        <f>--2259.89</f>
        <v>2259.89</v>
      </c>
      <c r="U54" s="2"/>
      <c r="V54" s="19"/>
      <c r="W54" s="2"/>
      <c r="X54" s="2">
        <f t="shared" si="2"/>
        <v>-2259.89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"4143", " - ", "NON-TAXABLE SALES-CARDS")</f>
        <v xml:space="preserve">          4143 - NON-TAXABLE SALES-CARDS</v>
      </c>
      <c r="C55" s="11"/>
      <c r="D55" s="2">
        <f t="shared" si="6"/>
        <v>0</v>
      </c>
      <c r="E55" s="2"/>
      <c r="F55" s="19"/>
      <c r="G55" s="2"/>
      <c r="H55" s="2">
        <f>--232.71</f>
        <v>232.71</v>
      </c>
      <c r="I55" s="2"/>
      <c r="J55" s="19"/>
      <c r="K55" s="2"/>
      <c r="L55" s="2">
        <f t="shared" si="0"/>
        <v>-232.71</v>
      </c>
      <c r="M55" s="2"/>
      <c r="N55" s="19">
        <f t="shared" si="1"/>
        <v>-1</v>
      </c>
      <c r="O55" s="11"/>
      <c r="P55" s="2">
        <f t="shared" si="7"/>
        <v>0</v>
      </c>
      <c r="Q55" s="2"/>
      <c r="R55" s="19"/>
      <c r="S55" s="2"/>
      <c r="T55" s="2">
        <f>--1969.74</f>
        <v>1969.74</v>
      </c>
      <c r="U55" s="2"/>
      <c r="V55" s="19"/>
      <c r="W55" s="2"/>
      <c r="X55" s="2">
        <f t="shared" si="2"/>
        <v>-1969.74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 t="shared" si="6"/>
        <v>0</v>
      </c>
      <c r="E56" s="2"/>
      <c r="F56" s="19"/>
      <c r="G56" s="2"/>
      <c r="H56" s="2">
        <f>--119.9</f>
        <v>119.9</v>
      </c>
      <c r="I56" s="2"/>
      <c r="J56" s="19"/>
      <c r="K56" s="2"/>
      <c r="L56" s="2">
        <f t="shared" si="0"/>
        <v>-119.9</v>
      </c>
      <c r="M56" s="2"/>
      <c r="N56" s="19">
        <f t="shared" si="1"/>
        <v>-1</v>
      </c>
      <c r="O56" s="11"/>
      <c r="P56" s="2">
        <f t="shared" si="7"/>
        <v>0</v>
      </c>
      <c r="Q56" s="2"/>
      <c r="R56" s="19"/>
      <c r="S56" s="2"/>
      <c r="T56" s="2">
        <f>--609.4</f>
        <v>609.4</v>
      </c>
      <c r="U56" s="2"/>
      <c r="V56" s="19"/>
      <c r="W56" s="2"/>
      <c r="X56" s="2">
        <f t="shared" si="2"/>
        <v>-609.4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 t="shared" si="6"/>
        <v>0</v>
      </c>
      <c r="E57" s="2"/>
      <c r="F57" s="19"/>
      <c r="G57" s="2"/>
      <c r="H57" s="2">
        <f>-1677.68</f>
        <v>-1677.68</v>
      </c>
      <c r="I57" s="2"/>
      <c r="J57" s="19"/>
      <c r="K57" s="2"/>
      <c r="L57" s="2">
        <f t="shared" si="0"/>
        <v>1677.68</v>
      </c>
      <c r="M57" s="2"/>
      <c r="N57" s="19">
        <f t="shared" si="1"/>
        <v>-1</v>
      </c>
      <c r="O57" s="11"/>
      <c r="P57" s="2">
        <f t="shared" si="7"/>
        <v>0</v>
      </c>
      <c r="Q57" s="2"/>
      <c r="R57" s="19"/>
      <c r="S57" s="2"/>
      <c r="T57" s="2">
        <f>--53716.09</f>
        <v>53716.09</v>
      </c>
      <c r="U57" s="2"/>
      <c r="V57" s="19"/>
      <c r="W57" s="2"/>
      <c r="X57" s="2">
        <f t="shared" si="2"/>
        <v>-53716.09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 t="shared" si="6"/>
        <v>0</v>
      </c>
      <c r="E58" s="2"/>
      <c r="F58" s="19"/>
      <c r="G58" s="2"/>
      <c r="H58" s="2">
        <f>--12.7</f>
        <v>12.7</v>
      </c>
      <c r="I58" s="2"/>
      <c r="J58" s="19"/>
      <c r="K58" s="2"/>
      <c r="L58" s="2">
        <f t="shared" si="0"/>
        <v>-12.7</v>
      </c>
      <c r="M58" s="2"/>
      <c r="N58" s="19">
        <f t="shared" si="1"/>
        <v>-1</v>
      </c>
      <c r="O58" s="11"/>
      <c r="P58" s="2">
        <f t="shared" si="7"/>
        <v>0</v>
      </c>
      <c r="Q58" s="2"/>
      <c r="R58" s="19"/>
      <c r="S58" s="2"/>
      <c r="T58" s="2">
        <f>--140.6</f>
        <v>140.6</v>
      </c>
      <c r="U58" s="2"/>
      <c r="V58" s="19"/>
      <c r="W58" s="2"/>
      <c r="X58" s="2">
        <f t="shared" si="2"/>
        <v>-140.6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"4147", " - ", "NON-TAXABLE SALES-MISC")</f>
        <v xml:space="preserve">          4147 - NON-TAXABLE SALES-MISC</v>
      </c>
      <c r="C59" s="11"/>
      <c r="D59" s="2">
        <f t="shared" si="6"/>
        <v>0</v>
      </c>
      <c r="E59" s="2"/>
      <c r="F59" s="19"/>
      <c r="G59" s="2"/>
      <c r="H59" s="2">
        <f>--11</f>
        <v>11</v>
      </c>
      <c r="I59" s="2"/>
      <c r="J59" s="19"/>
      <c r="K59" s="2"/>
      <c r="L59" s="2">
        <f t="shared" si="0"/>
        <v>-11</v>
      </c>
      <c r="M59" s="2"/>
      <c r="N59" s="19">
        <f t="shared" si="1"/>
        <v>-1</v>
      </c>
      <c r="O59" s="11"/>
      <c r="P59" s="2">
        <f t="shared" si="7"/>
        <v>0</v>
      </c>
      <c r="Q59" s="2"/>
      <c r="R59" s="19"/>
      <c r="S59" s="2"/>
      <c r="T59" s="2">
        <f>--115.5</f>
        <v>115.5</v>
      </c>
      <c r="U59" s="2"/>
      <c r="V59" s="19"/>
      <c r="W59" s="2"/>
      <c r="X59" s="2">
        <f t="shared" si="2"/>
        <v>-115.5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 t="shared" si="6"/>
        <v>0</v>
      </c>
      <c r="E60" s="2"/>
      <c r="F60" s="19"/>
      <c r="G60" s="2"/>
      <c r="H60" s="2">
        <f>--2038.6</f>
        <v>2038.6</v>
      </c>
      <c r="I60" s="2"/>
      <c r="J60" s="19"/>
      <c r="K60" s="2"/>
      <c r="L60" s="2">
        <f t="shared" si="0"/>
        <v>-2038.6</v>
      </c>
      <c r="M60" s="2"/>
      <c r="N60" s="19">
        <f t="shared" si="1"/>
        <v>-1</v>
      </c>
      <c r="O60" s="11"/>
      <c r="P60" s="2">
        <f t="shared" si="7"/>
        <v>0</v>
      </c>
      <c r="Q60" s="2"/>
      <c r="R60" s="19"/>
      <c r="S60" s="2"/>
      <c r="T60" s="2">
        <f>--5572.72</f>
        <v>5572.72</v>
      </c>
      <c r="U60" s="2"/>
      <c r="V60" s="19"/>
      <c r="W60" s="2"/>
      <c r="X60" s="2">
        <f t="shared" si="2"/>
        <v>-5572.72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 t="shared" si="6"/>
        <v>0</v>
      </c>
      <c r="E61" s="2"/>
      <c r="F61" s="19"/>
      <c r="G61" s="2"/>
      <c r="H61" s="2">
        <f>--22090.89</f>
        <v>22090.89</v>
      </c>
      <c r="I61" s="2"/>
      <c r="J61" s="19"/>
      <c r="K61" s="2"/>
      <c r="L61" s="2">
        <f t="shared" si="0"/>
        <v>-22090.89</v>
      </c>
      <c r="M61" s="2"/>
      <c r="N61" s="19">
        <f t="shared" si="1"/>
        <v>-1</v>
      </c>
      <c r="O61" s="11"/>
      <c r="P61" s="2">
        <f t="shared" si="7"/>
        <v>0</v>
      </c>
      <c r="Q61" s="2"/>
      <c r="R61" s="19"/>
      <c r="S61" s="2"/>
      <c r="T61" s="2">
        <f>--186399.2</f>
        <v>186399.2</v>
      </c>
      <c r="U61" s="2"/>
      <c r="V61" s="19"/>
      <c r="W61" s="2"/>
      <c r="X61" s="2">
        <f t="shared" si="2"/>
        <v>-186399.2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 t="shared" si="6"/>
        <v>0</v>
      </c>
      <c r="E62" s="2"/>
      <c r="F62" s="19"/>
      <c r="G62" s="2"/>
      <c r="H62" s="2">
        <f>--2888.95</f>
        <v>2888.95</v>
      </c>
      <c r="I62" s="2"/>
      <c r="J62" s="19"/>
      <c r="K62" s="2"/>
      <c r="L62" s="2">
        <f t="shared" si="0"/>
        <v>-2888.95</v>
      </c>
      <c r="M62" s="2"/>
      <c r="N62" s="19">
        <f t="shared" si="1"/>
        <v>-1</v>
      </c>
      <c r="O62" s="11"/>
      <c r="P62" s="2">
        <f t="shared" si="7"/>
        <v>0</v>
      </c>
      <c r="Q62" s="2"/>
      <c r="R62" s="19"/>
      <c r="S62" s="2"/>
      <c r="T62" s="2">
        <f>--10518.14</f>
        <v>10518.14</v>
      </c>
      <c r="U62" s="2"/>
      <c r="V62" s="19"/>
      <c r="W62" s="2"/>
      <c r="X62" s="2">
        <f t="shared" si="2"/>
        <v>-10518.14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"4185", " - ", "NON-TAXABLE SALES-SOFTWARE")</f>
        <v xml:space="preserve">          4185 - NON-TAXABLE SALES-SOFTWARE</v>
      </c>
      <c r="C63" s="11"/>
      <c r="D63" s="2">
        <f t="shared" si="6"/>
        <v>0</v>
      </c>
      <c r="E63" s="2"/>
      <c r="F63" s="19"/>
      <c r="G63" s="2"/>
      <c r="H63" s="2">
        <f>--3149.85</f>
        <v>3149.85</v>
      </c>
      <c r="I63" s="2"/>
      <c r="J63" s="19"/>
      <c r="K63" s="2"/>
      <c r="L63" s="2">
        <f t="shared" si="0"/>
        <v>-3149.85</v>
      </c>
      <c r="M63" s="2"/>
      <c r="N63" s="19">
        <f t="shared" si="1"/>
        <v>-1</v>
      </c>
      <c r="O63" s="11"/>
      <c r="P63" s="2">
        <f t="shared" si="7"/>
        <v>0</v>
      </c>
      <c r="Q63" s="2"/>
      <c r="R63" s="19"/>
      <c r="S63" s="2"/>
      <c r="T63" s="2">
        <f>--29830.52</f>
        <v>29830.52</v>
      </c>
      <c r="U63" s="2"/>
      <c r="V63" s="19"/>
      <c r="W63" s="2"/>
      <c r="X63" s="2">
        <f t="shared" si="2"/>
        <v>-29830.52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 t="shared" si="6"/>
        <v>0</v>
      </c>
      <c r="E64" s="2"/>
      <c r="F64" s="19"/>
      <c r="G64" s="2"/>
      <c r="H64" s="2">
        <f>--535.04</f>
        <v>535.04</v>
      </c>
      <c r="I64" s="2"/>
      <c r="J64" s="19"/>
      <c r="K64" s="2"/>
      <c r="L64" s="2">
        <f t="shared" si="0"/>
        <v>-535.04</v>
      </c>
      <c r="M64" s="2"/>
      <c r="N64" s="19">
        <f t="shared" si="1"/>
        <v>-1</v>
      </c>
      <c r="O64" s="11"/>
      <c r="P64" s="2">
        <f t="shared" si="7"/>
        <v>0</v>
      </c>
      <c r="Q64" s="2"/>
      <c r="R64" s="19"/>
      <c r="S64" s="2"/>
      <c r="T64" s="2">
        <f>--2485.03</f>
        <v>2485.0300000000002</v>
      </c>
      <c r="U64" s="2"/>
      <c r="V64" s="19"/>
      <c r="W64" s="2"/>
      <c r="X64" s="2">
        <f t="shared" si="2"/>
        <v>-2485.0300000000002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"4200", " - ", "TAXABLE RETURNS")</f>
        <v xml:space="preserve">          4200 - TAXABLE RETURNS</v>
      </c>
      <c r="C65" s="11"/>
      <c r="D65" s="2">
        <f>-33158.25</f>
        <v>-33158.25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-33158.25</v>
      </c>
      <c r="M65" s="2"/>
      <c r="N65" s="19">
        <f t="shared" si="1"/>
        <v>0</v>
      </c>
      <c r="O65" s="11"/>
      <c r="P65" s="2">
        <f>-311559.47</f>
        <v>-311559.46999999997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-311559.46999999997</v>
      </c>
      <c r="Y65" s="2"/>
      <c r="Z65" s="19">
        <f t="shared" si="3"/>
        <v>0</v>
      </c>
    </row>
    <row r="66" spans="1:26" s="24" customFormat="1" hidden="1" outlineLevel="1" x14ac:dyDescent="0.3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 t="shared" ref="D66:D82" si="9">0</f>
        <v>0</v>
      </c>
      <c r="E66" s="2"/>
      <c r="F66" s="19"/>
      <c r="G66" s="2"/>
      <c r="H66" s="2">
        <f>-12741.9</f>
        <v>-12741.9</v>
      </c>
      <c r="I66" s="2"/>
      <c r="J66" s="19"/>
      <c r="K66" s="2"/>
      <c r="L66" s="2">
        <f t="shared" si="0"/>
        <v>12741.9</v>
      </c>
      <c r="M66" s="2"/>
      <c r="N66" s="19">
        <f t="shared" si="1"/>
        <v>-1</v>
      </c>
      <c r="O66" s="11"/>
      <c r="P66" s="2">
        <f t="shared" ref="P66:P82" si="10">0</f>
        <v>0</v>
      </c>
      <c r="Q66" s="2"/>
      <c r="R66" s="19"/>
      <c r="S66" s="2"/>
      <c r="T66" s="2">
        <f>-48517.74</f>
        <v>-48517.74</v>
      </c>
      <c r="U66" s="2"/>
      <c r="V66" s="19"/>
      <c r="W66" s="2"/>
      <c r="X66" s="2">
        <f t="shared" si="2"/>
        <v>48517.74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 t="shared" si="9"/>
        <v>0</v>
      </c>
      <c r="E67" s="2"/>
      <c r="F67" s="19"/>
      <c r="G67" s="2"/>
      <c r="H67" s="2">
        <f>-4670.3</f>
        <v>-4670.3</v>
      </c>
      <c r="I67" s="2"/>
      <c r="J67" s="19"/>
      <c r="K67" s="2"/>
      <c r="L67" s="2">
        <f t="shared" si="0"/>
        <v>4670.3</v>
      </c>
      <c r="M67" s="2"/>
      <c r="N67" s="19">
        <f t="shared" si="1"/>
        <v>-1</v>
      </c>
      <c r="O67" s="11"/>
      <c r="P67" s="2">
        <f t="shared" si="10"/>
        <v>0</v>
      </c>
      <c r="Q67" s="2"/>
      <c r="R67" s="19"/>
      <c r="S67" s="2"/>
      <c r="T67" s="2">
        <f>-18536.3</f>
        <v>-18536.3</v>
      </c>
      <c r="U67" s="2"/>
      <c r="V67" s="19"/>
      <c r="W67" s="2"/>
      <c r="X67" s="2">
        <f t="shared" si="2"/>
        <v>18536.3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 t="shared" si="9"/>
        <v>0</v>
      </c>
      <c r="E68" s="2"/>
      <c r="F68" s="19"/>
      <c r="G68" s="2"/>
      <c r="H68" s="2">
        <f t="shared" ref="H68:H69" si="11">0</f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 t="shared" si="10"/>
        <v>0</v>
      </c>
      <c r="Q68" s="2"/>
      <c r="R68" s="19"/>
      <c r="S68" s="2"/>
      <c r="T68" s="2">
        <f>-1630.85</f>
        <v>-1630.85</v>
      </c>
      <c r="U68" s="2"/>
      <c r="V68" s="19"/>
      <c r="W68" s="2"/>
      <c r="X68" s="2">
        <f t="shared" si="2"/>
        <v>1630.85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"4226", " - ", "SALES RETURN TAXABLE-WRITING I")</f>
        <v xml:space="preserve">          4226 - SALES RETURN TAXABLE-WRITING I</v>
      </c>
      <c r="C69" s="11"/>
      <c r="D69" s="2">
        <f t="shared" si="9"/>
        <v>0</v>
      </c>
      <c r="E69" s="2"/>
      <c r="F69" s="19"/>
      <c r="G69" s="2"/>
      <c r="H69" s="2">
        <f t="shared" si="11"/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 t="shared" si="10"/>
        <v>0</v>
      </c>
      <c r="Q69" s="2"/>
      <c r="R69" s="19"/>
      <c r="S69" s="2"/>
      <c r="T69" s="2">
        <f>-34.23</f>
        <v>-34.229999999999997</v>
      </c>
      <c r="U69" s="2"/>
      <c r="V69" s="19"/>
      <c r="W69" s="2"/>
      <c r="X69" s="2">
        <f t="shared" si="2"/>
        <v>34.229999999999997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"4227", " - ", "SALES RETURN TAXABLE-SCHOOL SU")</f>
        <v xml:space="preserve">          4227 - SALES RETURN TAXABLE-SCHOOL SU</v>
      </c>
      <c r="C70" s="11"/>
      <c r="D70" s="2">
        <f t="shared" si="9"/>
        <v>0</v>
      </c>
      <c r="E70" s="2"/>
      <c r="F70" s="19"/>
      <c r="G70" s="2"/>
      <c r="H70" s="2">
        <f>-126.22</f>
        <v>-126.22</v>
      </c>
      <c r="I70" s="2"/>
      <c r="J70" s="19"/>
      <c r="K70" s="2"/>
      <c r="L70" s="2">
        <f t="shared" si="0"/>
        <v>126.22</v>
      </c>
      <c r="M70" s="2"/>
      <c r="N70" s="19">
        <f t="shared" si="1"/>
        <v>-1</v>
      </c>
      <c r="O70" s="11"/>
      <c r="P70" s="2">
        <f t="shared" si="10"/>
        <v>0</v>
      </c>
      <c r="Q70" s="2"/>
      <c r="R70" s="19"/>
      <c r="S70" s="2"/>
      <c r="T70" s="2">
        <f>-762.68</f>
        <v>-762.68</v>
      </c>
      <c r="U70" s="2"/>
      <c r="V70" s="19"/>
      <c r="W70" s="2"/>
      <c r="X70" s="2">
        <f t="shared" si="2"/>
        <v>762.68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"4228", " - ", "SALES RETURN TAXABLE-ART/TECH")</f>
        <v xml:space="preserve">          4228 - SALES RETURN TAXABLE-ART/TECH</v>
      </c>
      <c r="C71" s="11"/>
      <c r="D71" s="2">
        <f t="shared" si="9"/>
        <v>0</v>
      </c>
      <c r="E71" s="2"/>
      <c r="F71" s="19"/>
      <c r="G71" s="2"/>
      <c r="H71" s="2">
        <f>-12473.84</f>
        <v>-12473.84</v>
      </c>
      <c r="I71" s="2"/>
      <c r="J71" s="19"/>
      <c r="K71" s="2"/>
      <c r="L71" s="2">
        <f t="shared" si="0"/>
        <v>12473.84</v>
      </c>
      <c r="M71" s="2"/>
      <c r="N71" s="19">
        <f t="shared" si="1"/>
        <v>-1</v>
      </c>
      <c r="O71" s="11"/>
      <c r="P71" s="2">
        <f t="shared" si="10"/>
        <v>0</v>
      </c>
      <c r="Q71" s="2"/>
      <c r="R71" s="19"/>
      <c r="S71" s="2"/>
      <c r="T71" s="2">
        <f>-12728.53</f>
        <v>-12728.53</v>
      </c>
      <c r="U71" s="2"/>
      <c r="V71" s="19"/>
      <c r="W71" s="2"/>
      <c r="X71" s="2">
        <f t="shared" si="2"/>
        <v>12728.53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"4240", " - ", "SALES RETURN TAXABLE-LOGO CLOT")</f>
        <v xml:space="preserve">          4240 - SALES RETURN TAXABLE-LOGO CLOT</v>
      </c>
      <c r="C72" s="11"/>
      <c r="D72" s="2">
        <f t="shared" si="9"/>
        <v>0</v>
      </c>
      <c r="E72" s="2"/>
      <c r="F72" s="19"/>
      <c r="G72" s="2"/>
      <c r="H72" s="2">
        <f>-7168.03</f>
        <v>-7168.03</v>
      </c>
      <c r="I72" s="2"/>
      <c r="J72" s="19"/>
      <c r="K72" s="2"/>
      <c r="L72" s="2">
        <f t="shared" si="0"/>
        <v>7168.03</v>
      </c>
      <c r="M72" s="2"/>
      <c r="N72" s="19">
        <f t="shared" si="1"/>
        <v>-1</v>
      </c>
      <c r="O72" s="11"/>
      <c r="P72" s="2">
        <f t="shared" si="10"/>
        <v>0</v>
      </c>
      <c r="Q72" s="2"/>
      <c r="R72" s="19"/>
      <c r="S72" s="2"/>
      <c r="T72" s="2">
        <f>-27586.87</f>
        <v>-27586.87</v>
      </c>
      <c r="U72" s="2"/>
      <c r="V72" s="19"/>
      <c r="W72" s="2"/>
      <c r="X72" s="2">
        <f t="shared" si="2"/>
        <v>27586.87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"4241", " - ", "SALES RETURN TAXABLE-LOGO GIFT")</f>
        <v xml:space="preserve">          4241 - SALES RETURN TAXABLE-LOGO GIFT</v>
      </c>
      <c r="C73" s="11"/>
      <c r="D73" s="2">
        <f t="shared" si="9"/>
        <v>0</v>
      </c>
      <c r="E73" s="2"/>
      <c r="F73" s="19"/>
      <c r="G73" s="2"/>
      <c r="H73" s="2">
        <f>-1397.46</f>
        <v>-1397.46</v>
      </c>
      <c r="I73" s="2"/>
      <c r="J73" s="19"/>
      <c r="K73" s="2"/>
      <c r="L73" s="2">
        <f t="shared" si="0"/>
        <v>1397.46</v>
      </c>
      <c r="M73" s="2"/>
      <c r="N73" s="19">
        <f t="shared" si="1"/>
        <v>-1</v>
      </c>
      <c r="O73" s="11"/>
      <c r="P73" s="2">
        <f t="shared" si="10"/>
        <v>0</v>
      </c>
      <c r="Q73" s="2"/>
      <c r="R73" s="19"/>
      <c r="S73" s="2"/>
      <c r="T73" s="2">
        <f>-4957.47</f>
        <v>-4957.47</v>
      </c>
      <c r="U73" s="2"/>
      <c r="V73" s="19"/>
      <c r="W73" s="2"/>
      <c r="X73" s="2">
        <f t="shared" si="2"/>
        <v>4957.47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"4242", " - ", "SALES RETURN TAXABLE-EVERYDAY")</f>
        <v xml:space="preserve">          4242 - SALES RETURN TAXABLE-EVERYDAY</v>
      </c>
      <c r="C74" s="11"/>
      <c r="D74" s="2">
        <f t="shared" si="9"/>
        <v>0</v>
      </c>
      <c r="E74" s="2"/>
      <c r="F74" s="19"/>
      <c r="G74" s="2"/>
      <c r="H74" s="2">
        <f>-76.86</f>
        <v>-76.86</v>
      </c>
      <c r="I74" s="2"/>
      <c r="J74" s="19"/>
      <c r="K74" s="2"/>
      <c r="L74" s="2">
        <f t="shared" si="0"/>
        <v>76.86</v>
      </c>
      <c r="M74" s="2"/>
      <c r="N74" s="19">
        <f t="shared" si="1"/>
        <v>-1</v>
      </c>
      <c r="O74" s="11"/>
      <c r="P74" s="2">
        <f t="shared" si="10"/>
        <v>0</v>
      </c>
      <c r="Q74" s="2"/>
      <c r="R74" s="19"/>
      <c r="S74" s="2"/>
      <c r="T74" s="2">
        <f>-1693.78</f>
        <v>-1693.78</v>
      </c>
      <c r="U74" s="2"/>
      <c r="V74" s="19"/>
      <c r="W74" s="2"/>
      <c r="X74" s="2">
        <f t="shared" si="2"/>
        <v>1693.78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"4243", " - ", "SALES RETURN TAXABLE-CARDS")</f>
        <v xml:space="preserve">          4243 - SALES RETURN TAXABLE-CARDS</v>
      </c>
      <c r="C75" s="11"/>
      <c r="D75" s="2">
        <f t="shared" si="9"/>
        <v>0</v>
      </c>
      <c r="E75" s="2"/>
      <c r="F75" s="19"/>
      <c r="G75" s="2"/>
      <c r="H75" s="2">
        <f>-1422.25</f>
        <v>-1422.25</v>
      </c>
      <c r="I75" s="2"/>
      <c r="J75" s="19"/>
      <c r="K75" s="2"/>
      <c r="L75" s="2">
        <f t="shared" si="0"/>
        <v>1422.25</v>
      </c>
      <c r="M75" s="2"/>
      <c r="N75" s="19">
        <f t="shared" si="1"/>
        <v>-1</v>
      </c>
      <c r="O75" s="11"/>
      <c r="P75" s="2">
        <f t="shared" si="10"/>
        <v>0</v>
      </c>
      <c r="Q75" s="2"/>
      <c r="R75" s="19"/>
      <c r="S75" s="2"/>
      <c r="T75" s="2">
        <f>-4999.79</f>
        <v>-4999.79</v>
      </c>
      <c r="U75" s="2"/>
      <c r="V75" s="19"/>
      <c r="W75" s="2"/>
      <c r="X75" s="2">
        <f t="shared" si="2"/>
        <v>4999.79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"4244", " - ", "SALES RETURN TAXABLE-ACCESSORI")</f>
        <v xml:space="preserve">          4244 - SALES RETURN TAXABLE-ACCESSORI</v>
      </c>
      <c r="C76" s="11"/>
      <c r="D76" s="2">
        <f t="shared" si="9"/>
        <v>0</v>
      </c>
      <c r="E76" s="2"/>
      <c r="F76" s="19"/>
      <c r="G76" s="2"/>
      <c r="H76" s="2">
        <f>-93.98</f>
        <v>-93.98</v>
      </c>
      <c r="I76" s="2"/>
      <c r="J76" s="19"/>
      <c r="K76" s="2"/>
      <c r="L76" s="2">
        <f t="shared" si="0"/>
        <v>93.98</v>
      </c>
      <c r="M76" s="2"/>
      <c r="N76" s="19">
        <f t="shared" si="1"/>
        <v>-1</v>
      </c>
      <c r="O76" s="11"/>
      <c r="P76" s="2">
        <f t="shared" si="10"/>
        <v>0</v>
      </c>
      <c r="Q76" s="2"/>
      <c r="R76" s="19"/>
      <c r="S76" s="2"/>
      <c r="T76" s="2">
        <f>-984.85</f>
        <v>-984.85</v>
      </c>
      <c r="U76" s="2"/>
      <c r="V76" s="19"/>
      <c r="W76" s="2"/>
      <c r="X76" s="2">
        <f t="shared" si="2"/>
        <v>984.85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"4245", " - ", "SALES RETURN TAXABLE-SPECIAL O")</f>
        <v xml:space="preserve">          4245 - SALES RETURN TAXABLE-SPECIAL O</v>
      </c>
      <c r="C77" s="11"/>
      <c r="D77" s="2">
        <f t="shared" si="9"/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 t="shared" si="10"/>
        <v>0</v>
      </c>
      <c r="Q77" s="2"/>
      <c r="R77" s="19"/>
      <c r="S77" s="2"/>
      <c r="T77" s="2">
        <f>-11345.61</f>
        <v>-11345.61</v>
      </c>
      <c r="U77" s="2"/>
      <c r="V77" s="19"/>
      <c r="W77" s="2"/>
      <c r="X77" s="2">
        <f t="shared" si="2"/>
        <v>11345.61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"4281", " - ", "SALES RETURN TAXABLE-ELECTRONI")</f>
        <v xml:space="preserve">          4281 - SALES RETURN TAXABLE-ELECTRONI</v>
      </c>
      <c r="C78" s="11"/>
      <c r="D78" s="2">
        <f t="shared" si="9"/>
        <v>0</v>
      </c>
      <c r="E78" s="2"/>
      <c r="F78" s="19"/>
      <c r="G78" s="2"/>
      <c r="H78" s="2">
        <f>-129.99</f>
        <v>-129.99</v>
      </c>
      <c r="I78" s="2"/>
      <c r="J78" s="19"/>
      <c r="K78" s="2"/>
      <c r="L78" s="2">
        <f t="shared" si="0"/>
        <v>129.99</v>
      </c>
      <c r="M78" s="2"/>
      <c r="N78" s="19">
        <f t="shared" si="1"/>
        <v>-1</v>
      </c>
      <c r="O78" s="11"/>
      <c r="P78" s="2">
        <f t="shared" si="10"/>
        <v>0</v>
      </c>
      <c r="Q78" s="2"/>
      <c r="R78" s="19"/>
      <c r="S78" s="2"/>
      <c r="T78" s="2">
        <f>-14762.14</f>
        <v>-14762.14</v>
      </c>
      <c r="U78" s="2"/>
      <c r="V78" s="19"/>
      <c r="W78" s="2"/>
      <c r="X78" s="2">
        <f t="shared" si="2"/>
        <v>14762.14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"4282", " - ", "SALES RETURN TAXABLE-COMPUTER")</f>
        <v xml:space="preserve">          4282 - SALES RETURN TAXABLE-COMPUTER</v>
      </c>
      <c r="C79" s="11"/>
      <c r="D79" s="2">
        <f t="shared" si="9"/>
        <v>0</v>
      </c>
      <c r="E79" s="2"/>
      <c r="F79" s="19"/>
      <c r="G79" s="2"/>
      <c r="H79" s="2">
        <f>-4897</f>
        <v>-4897</v>
      </c>
      <c r="I79" s="2"/>
      <c r="J79" s="19"/>
      <c r="K79" s="2"/>
      <c r="L79" s="2">
        <f t="shared" si="0"/>
        <v>4897</v>
      </c>
      <c r="M79" s="2"/>
      <c r="N79" s="19">
        <f t="shared" si="1"/>
        <v>-1</v>
      </c>
      <c r="O79" s="11"/>
      <c r="P79" s="2">
        <f t="shared" si="10"/>
        <v>0</v>
      </c>
      <c r="Q79" s="2"/>
      <c r="R79" s="19"/>
      <c r="S79" s="2"/>
      <c r="T79" s="2">
        <f>-96917.01</f>
        <v>-96917.01</v>
      </c>
      <c r="U79" s="2"/>
      <c r="V79" s="19"/>
      <c r="W79" s="2"/>
      <c r="X79" s="2">
        <f t="shared" si="2"/>
        <v>96917.01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"4283", " - ", "SALES RETURN TAXABLE-COMPUTER")</f>
        <v xml:space="preserve">          4283 - SALES RETURN TAXABLE-COMPUTER</v>
      </c>
      <c r="C80" s="11"/>
      <c r="D80" s="2">
        <f t="shared" si="9"/>
        <v>0</v>
      </c>
      <c r="E80" s="2"/>
      <c r="F80" s="19"/>
      <c r="G80" s="2"/>
      <c r="H80" s="2">
        <f>--264.97</f>
        <v>264.97000000000003</v>
      </c>
      <c r="I80" s="2"/>
      <c r="J80" s="19"/>
      <c r="K80" s="2"/>
      <c r="L80" s="2">
        <f t="shared" si="0"/>
        <v>-264.97000000000003</v>
      </c>
      <c r="M80" s="2"/>
      <c r="N80" s="19">
        <f t="shared" si="1"/>
        <v>-1</v>
      </c>
      <c r="O80" s="11"/>
      <c r="P80" s="2">
        <f t="shared" si="10"/>
        <v>0</v>
      </c>
      <c r="Q80" s="2"/>
      <c r="R80" s="19"/>
      <c r="S80" s="2"/>
      <c r="T80" s="2">
        <f>-3146.29</f>
        <v>-3146.29</v>
      </c>
      <c r="U80" s="2"/>
      <c r="V80" s="19"/>
      <c r="W80" s="2"/>
      <c r="X80" s="2">
        <f t="shared" si="2"/>
        <v>3146.29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"4285", " - ", "SALES RETURN TAXABLE-SOFTWARE")</f>
        <v xml:space="preserve">          4285 - SALES RETURN TAXABLE-SOFTWARE</v>
      </c>
      <c r="C81" s="11"/>
      <c r="D81" s="2">
        <f t="shared" si="9"/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 t="shared" si="10"/>
        <v>0</v>
      </c>
      <c r="Q81" s="2"/>
      <c r="R81" s="19"/>
      <c r="S81" s="2"/>
      <c r="T81" s="2">
        <f>-691.98</f>
        <v>-691.98</v>
      </c>
      <c r="U81" s="2"/>
      <c r="V81" s="19"/>
      <c r="W81" s="2"/>
      <c r="X81" s="2">
        <f t="shared" si="2"/>
        <v>691.98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"4286", " - ", "SALES RETURN TAXABLE-COMPUTER")</f>
        <v xml:space="preserve">          4286 - SALES RETURN TAXABLE-COMPUTER</v>
      </c>
      <c r="C82" s="11"/>
      <c r="D82" s="2">
        <f t="shared" si="9"/>
        <v>0</v>
      </c>
      <c r="E82" s="2"/>
      <c r="F82" s="19"/>
      <c r="G82" s="2"/>
      <c r="H82" s="2">
        <f>-18.99</f>
        <v>-18.989999999999998</v>
      </c>
      <c r="I82" s="2"/>
      <c r="J82" s="19"/>
      <c r="K82" s="2"/>
      <c r="L82" s="2">
        <f t="shared" si="0"/>
        <v>18.989999999999998</v>
      </c>
      <c r="M82" s="2"/>
      <c r="N82" s="19">
        <f t="shared" si="1"/>
        <v>-1</v>
      </c>
      <c r="O82" s="11"/>
      <c r="P82" s="2">
        <f t="shared" si="10"/>
        <v>0</v>
      </c>
      <c r="Q82" s="2"/>
      <c r="R82" s="19"/>
      <c r="S82" s="2"/>
      <c r="T82" s="2">
        <f>-4727.34</f>
        <v>-4727.34</v>
      </c>
      <c r="U82" s="2"/>
      <c r="V82" s="19"/>
      <c r="W82" s="2"/>
      <c r="X82" s="2">
        <f t="shared" si="2"/>
        <v>4727.34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"4300", " - ", "NON-TAX RETURNS")</f>
        <v xml:space="preserve">          4300 - NON-TAX RETURNS</v>
      </c>
      <c r="C83" s="11"/>
      <c r="D83" s="2">
        <f>-894.73</f>
        <v>-894.73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-894.73</v>
      </c>
      <c r="M83" s="2"/>
      <c r="N83" s="19">
        <f t="shared" si="1"/>
        <v>0</v>
      </c>
      <c r="O83" s="11"/>
      <c r="P83" s="2">
        <f>-28778.86</f>
        <v>-28778.86</v>
      </c>
      <c r="Q83" s="2"/>
      <c r="R83" s="19"/>
      <c r="S83" s="2"/>
      <c r="T83" s="2">
        <f>0</f>
        <v>0</v>
      </c>
      <c r="U83" s="2"/>
      <c r="V83" s="19"/>
      <c r="W83" s="2"/>
      <c r="X83" s="2">
        <f t="shared" si="2"/>
        <v>-28778.86</v>
      </c>
      <c r="Y83" s="2"/>
      <c r="Z83" s="19">
        <f t="shared" si="3"/>
        <v>0</v>
      </c>
    </row>
    <row r="84" spans="1:26" s="24" customFormat="1" hidden="1" outlineLevel="1" x14ac:dyDescent="0.3">
      <c r="A84" s="44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 t="shared" ref="D84:D90" si="12">0</f>
        <v>0</v>
      </c>
      <c r="E84" s="2"/>
      <c r="F84" s="19"/>
      <c r="G84" s="2"/>
      <c r="H84" s="2">
        <f>-256.69</f>
        <v>-256.69</v>
      </c>
      <c r="I84" s="2"/>
      <c r="J84" s="19"/>
      <c r="K84" s="2"/>
      <c r="L84" s="2">
        <f t="shared" si="0"/>
        <v>256.69</v>
      </c>
      <c r="M84" s="2"/>
      <c r="N84" s="19">
        <f t="shared" si="1"/>
        <v>-1</v>
      </c>
      <c r="O84" s="11"/>
      <c r="P84" s="2">
        <f t="shared" ref="P84:P90" si="13">0</f>
        <v>0</v>
      </c>
      <c r="Q84" s="2"/>
      <c r="R84" s="19"/>
      <c r="S84" s="2"/>
      <c r="T84" s="2">
        <f>-3005.79</f>
        <v>-3005.79</v>
      </c>
      <c r="U84" s="2"/>
      <c r="V84" s="19"/>
      <c r="W84" s="2"/>
      <c r="X84" s="2">
        <f t="shared" si="2"/>
        <v>3005.79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 t="shared" si="12"/>
        <v>0</v>
      </c>
      <c r="E85" s="2"/>
      <c r="F85" s="19"/>
      <c r="G85" s="2"/>
      <c r="H85" s="2">
        <f>-532.96</f>
        <v>-532.96</v>
      </c>
      <c r="I85" s="2"/>
      <c r="J85" s="19"/>
      <c r="K85" s="2"/>
      <c r="L85" s="2">
        <f t="shared" si="0"/>
        <v>532.96</v>
      </c>
      <c r="M85" s="2"/>
      <c r="N85" s="19">
        <f t="shared" si="1"/>
        <v>-1</v>
      </c>
      <c r="O85" s="11"/>
      <c r="P85" s="2">
        <f t="shared" si="13"/>
        <v>0</v>
      </c>
      <c r="Q85" s="2"/>
      <c r="R85" s="19"/>
      <c r="S85" s="2"/>
      <c r="T85" s="2">
        <f>-2003.16</f>
        <v>-2003.16</v>
      </c>
      <c r="U85" s="2"/>
      <c r="V85" s="19"/>
      <c r="W85" s="2"/>
      <c r="X85" s="2">
        <f t="shared" si="2"/>
        <v>2003.16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 t="shared" si="12"/>
        <v>0</v>
      </c>
      <c r="E86" s="2"/>
      <c r="F86" s="19"/>
      <c r="G86" s="2"/>
      <c r="H86" s="2">
        <f>-10673</f>
        <v>-10673</v>
      </c>
      <c r="I86" s="2"/>
      <c r="J86" s="19"/>
      <c r="K86" s="2"/>
      <c r="L86" s="2">
        <f t="shared" si="0"/>
        <v>10673</v>
      </c>
      <c r="M86" s="2"/>
      <c r="N86" s="19">
        <f t="shared" si="1"/>
        <v>-1</v>
      </c>
      <c r="O86" s="11"/>
      <c r="P86" s="2">
        <f t="shared" si="13"/>
        <v>0</v>
      </c>
      <c r="Q86" s="2"/>
      <c r="R86" s="19"/>
      <c r="S86" s="2"/>
      <c r="T86" s="2">
        <f>-25095.77</f>
        <v>-25095.77</v>
      </c>
      <c r="U86" s="2"/>
      <c r="V86" s="19"/>
      <c r="W86" s="2"/>
      <c r="X86" s="2">
        <f t="shared" si="2"/>
        <v>25095.77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"4340", " - ", "SALES RETURN NON TAXABLE-LOGO")</f>
        <v xml:space="preserve">          4340 - SALES RETURN NON TAXABLE-LOGO</v>
      </c>
      <c r="C87" s="11"/>
      <c r="D87" s="2">
        <f t="shared" si="12"/>
        <v>0</v>
      </c>
      <c r="E87" s="2"/>
      <c r="F87" s="19"/>
      <c r="G87" s="2"/>
      <c r="H87" s="2">
        <f>-732.22</f>
        <v>-732.22</v>
      </c>
      <c r="I87" s="2"/>
      <c r="J87" s="19"/>
      <c r="K87" s="2"/>
      <c r="L87" s="2">
        <f t="shared" si="0"/>
        <v>732.22</v>
      </c>
      <c r="M87" s="2"/>
      <c r="N87" s="19">
        <f t="shared" si="1"/>
        <v>-1</v>
      </c>
      <c r="O87" s="11"/>
      <c r="P87" s="2">
        <f t="shared" si="13"/>
        <v>0</v>
      </c>
      <c r="Q87" s="2"/>
      <c r="R87" s="19"/>
      <c r="S87" s="2"/>
      <c r="T87" s="2">
        <f>-2215.94</f>
        <v>-2215.94</v>
      </c>
      <c r="U87" s="2"/>
      <c r="V87" s="19"/>
      <c r="W87" s="2"/>
      <c r="X87" s="2">
        <f t="shared" si="2"/>
        <v>2215.94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"4341", " - ", "SALES RETURN NON TAXABLE-LOGO")</f>
        <v xml:space="preserve">          4341 - SALES RETURN NON TAXABLE-LOGO</v>
      </c>
      <c r="C88" s="11"/>
      <c r="D88" s="2">
        <f t="shared" si="12"/>
        <v>0</v>
      </c>
      <c r="E88" s="2"/>
      <c r="F88" s="19"/>
      <c r="G88" s="2"/>
      <c r="H88" s="2">
        <f>-27</f>
        <v>-27</v>
      </c>
      <c r="I88" s="2"/>
      <c r="J88" s="19"/>
      <c r="K88" s="2"/>
      <c r="L88" s="2">
        <f t="shared" si="0"/>
        <v>27</v>
      </c>
      <c r="M88" s="2"/>
      <c r="N88" s="19">
        <f t="shared" si="1"/>
        <v>-1</v>
      </c>
      <c r="O88" s="11"/>
      <c r="P88" s="2">
        <f t="shared" si="13"/>
        <v>0</v>
      </c>
      <c r="Q88" s="2"/>
      <c r="R88" s="19"/>
      <c r="S88" s="2"/>
      <c r="T88" s="2">
        <f>-362.64</f>
        <v>-362.64</v>
      </c>
      <c r="U88" s="2"/>
      <c r="V88" s="19"/>
      <c r="W88" s="2"/>
      <c r="X88" s="2">
        <f t="shared" si="2"/>
        <v>362.64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"4342", " - ", "SALES RETURN NON TAXABLE-EVERY")</f>
        <v xml:space="preserve">          4342 - SALES RETURN NON TAXABLE-EVERY</v>
      </c>
      <c r="C89" s="11"/>
      <c r="D89" s="2">
        <f t="shared" si="12"/>
        <v>0</v>
      </c>
      <c r="E89" s="2"/>
      <c r="F89" s="19"/>
      <c r="G89" s="2"/>
      <c r="H89" s="2">
        <f t="shared" ref="H89:H91" si="14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3"/>
        <v>0</v>
      </c>
      <c r="Q89" s="2"/>
      <c r="R89" s="19"/>
      <c r="S89" s="2"/>
      <c r="T89" s="2">
        <f>-118.7</f>
        <v>-118.7</v>
      </c>
      <c r="U89" s="2"/>
      <c r="V89" s="19"/>
      <c r="W89" s="2"/>
      <c r="X89" s="2">
        <f t="shared" si="2"/>
        <v>118.7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"4381", " - ", "SALES RETURN NON TAXABLE-ELECT")</f>
        <v xml:space="preserve">          4381 - SALES RETURN NON TAXABLE-ELECT</v>
      </c>
      <c r="C90" s="11"/>
      <c r="D90" s="2">
        <f t="shared" si="12"/>
        <v>0</v>
      </c>
      <c r="E90" s="2"/>
      <c r="F90" s="19"/>
      <c r="G90" s="2"/>
      <c r="H90" s="2">
        <f t="shared" si="14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3"/>
        <v>0</v>
      </c>
      <c r="Q90" s="2"/>
      <c r="R90" s="19"/>
      <c r="S90" s="2"/>
      <c r="T90" s="2">
        <f>-5624.15</f>
        <v>-5624.15</v>
      </c>
      <c r="U90" s="2"/>
      <c r="V90" s="19"/>
      <c r="W90" s="2"/>
      <c r="X90" s="2">
        <f t="shared" si="2"/>
        <v>5624.15</v>
      </c>
      <c r="Y90" s="2"/>
      <c r="Z90" s="19">
        <f t="shared" si="3"/>
        <v>-1</v>
      </c>
    </row>
    <row r="91" spans="1:26" s="24" customFormat="1" hidden="1" outlineLevel="1" x14ac:dyDescent="0.3">
      <c r="A91" s="44"/>
      <c r="B91" s="11" t="str">
        <f>CONCATENATE("          ", "4500", " - ", "SALES DISCOUNT")</f>
        <v xml:space="preserve">          4500 - SALES DISCOUNT</v>
      </c>
      <c r="C91" s="11"/>
      <c r="D91" s="2">
        <f>-6650.73</f>
        <v>-6650.73</v>
      </c>
      <c r="E91" s="2"/>
      <c r="F91" s="19"/>
      <c r="G91" s="2"/>
      <c r="H91" s="2">
        <f t="shared" si="14"/>
        <v>0</v>
      </c>
      <c r="I91" s="2"/>
      <c r="J91" s="19"/>
      <c r="K91" s="2"/>
      <c r="L91" s="2">
        <f t="shared" si="0"/>
        <v>-6650.73</v>
      </c>
      <c r="M91" s="2"/>
      <c r="N91" s="19">
        <f t="shared" si="1"/>
        <v>0</v>
      </c>
      <c r="O91" s="11"/>
      <c r="P91" s="2">
        <f>-71134.17</f>
        <v>-71134.17</v>
      </c>
      <c r="Q91" s="2"/>
      <c r="R91" s="19"/>
      <c r="S91" s="2"/>
      <c r="T91" s="2">
        <f>0</f>
        <v>0</v>
      </c>
      <c r="U91" s="2"/>
      <c r="V91" s="19"/>
      <c r="W91" s="2"/>
      <c r="X91" s="2">
        <f t="shared" si="2"/>
        <v>-71134.17</v>
      </c>
      <c r="Y91" s="2"/>
      <c r="Z91" s="19">
        <f t="shared" si="3"/>
        <v>0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collapsed="1" x14ac:dyDescent="0.3">
      <c r="A93" s="10"/>
      <c r="B93" s="26" t="s">
        <v>256</v>
      </c>
      <c r="C93" s="10"/>
      <c r="D93" s="4">
        <f>SUM(OSRRefD16x_0)</f>
        <v>583369.90999999992</v>
      </c>
      <c r="E93" s="4"/>
      <c r="F93" s="12">
        <f t="shared" ref="F93:F142" si="15">IF(D$12=0,0,D93/D$12)</f>
        <v>0.64012921357518315</v>
      </c>
      <c r="G93" s="4"/>
      <c r="H93" s="4">
        <f>SUM(OSRRefH16x_0)</f>
        <v>882162.34</v>
      </c>
      <c r="I93" s="4"/>
      <c r="J93" s="12">
        <f t="shared" ref="J93:J142" si="16">IF(H$12=0,0,H93/H$12)</f>
        <v>0.67442802705539706</v>
      </c>
      <c r="K93" s="4"/>
      <c r="L93" s="4">
        <f t="shared" ref="L93:L142" si="17">+D93-H93</f>
        <v>-298792.43000000005</v>
      </c>
      <c r="M93" s="4"/>
      <c r="N93" s="12">
        <f t="shared" ref="N93:N142" si="18">IF(H93=0,0,L93/H93)</f>
        <v>-0.33870458582487217</v>
      </c>
      <c r="O93" s="10"/>
      <c r="P93" s="4">
        <f>SUM(OSRRefP16x_0)</f>
        <v>3617784.4700000007</v>
      </c>
      <c r="Q93" s="4"/>
      <c r="R93" s="12">
        <f t="shared" ref="R93:R142" si="19">IF(P$12=0,0,P93/P$12)</f>
        <v>0.65313441558917995</v>
      </c>
      <c r="S93" s="4"/>
      <c r="T93" s="4">
        <f>SUM(OSRRefT16x_0)</f>
        <v>3832752.6100000008</v>
      </c>
      <c r="U93" s="4"/>
      <c r="V93" s="12">
        <f t="shared" ref="V93:V142" si="20">IF(T$12=0,0,T93/T$12)</f>
        <v>0.72562873038513931</v>
      </c>
      <c r="W93" s="4"/>
      <c r="X93" s="4">
        <f t="shared" ref="X93:X142" si="21">+P93-T93</f>
        <v>-214968.14000000013</v>
      </c>
      <c r="Y93" s="4"/>
      <c r="Z93" s="12">
        <f t="shared" ref="Z93:Z142" si="22">IF(T93=0,0,X93/T93)</f>
        <v>-5.6087142029237334E-2</v>
      </c>
    </row>
    <row r="94" spans="1:26" s="24" customFormat="1" hidden="1" outlineLevel="1" x14ac:dyDescent="0.3">
      <c r="A94" s="44"/>
      <c r="B94" s="11" t="str">
        <f>CONCATENATE("          ", "5000", " - ", "PURCHASES @ COST")</f>
        <v xml:space="preserve">          5000 - PURCHASES @ COST</v>
      </c>
      <c r="C94" s="11"/>
      <c r="D94" s="2">
        <v>586825.11</v>
      </c>
      <c r="E94" s="2"/>
      <c r="F94" s="19">
        <f t="shared" si="15"/>
        <v>0.64392058920294748</v>
      </c>
      <c r="G94" s="2"/>
      <c r="H94" s="2">
        <v>0</v>
      </c>
      <c r="I94" s="2"/>
      <c r="J94" s="19">
        <f t="shared" si="16"/>
        <v>0</v>
      </c>
      <c r="K94" s="2"/>
      <c r="L94" s="2">
        <f t="shared" si="17"/>
        <v>586825.11</v>
      </c>
      <c r="M94" s="2"/>
      <c r="N94" s="19">
        <f t="shared" si="18"/>
        <v>0</v>
      </c>
      <c r="O94" s="11"/>
      <c r="P94" s="2">
        <v>4045987.7</v>
      </c>
      <c r="Q94" s="2"/>
      <c r="R94" s="19">
        <f t="shared" si="19"/>
        <v>0.73043981304959005</v>
      </c>
      <c r="S94" s="2"/>
      <c r="T94" s="2">
        <v>0</v>
      </c>
      <c r="U94" s="2"/>
      <c r="V94" s="19">
        <f t="shared" si="20"/>
        <v>0</v>
      </c>
      <c r="W94" s="2"/>
      <c r="X94" s="2">
        <f t="shared" si="21"/>
        <v>4045987.7</v>
      </c>
      <c r="Y94" s="2"/>
      <c r="Z94" s="19">
        <f t="shared" si="22"/>
        <v>0</v>
      </c>
    </row>
    <row r="95" spans="1:26" s="24" customFormat="1" hidden="1" outlineLevel="1" x14ac:dyDescent="0.3">
      <c r="A95" s="44"/>
      <c r="B95" s="11" t="str">
        <f>CONCATENATE("          ", "5001", " - ", "PURCHASES @ COST-NEW TEXT")</f>
        <v xml:space="preserve">          5001 - PURCHASES @ COST-NEW TEXT</v>
      </c>
      <c r="C95" s="11"/>
      <c r="D95" s="2"/>
      <c r="E95" s="2"/>
      <c r="F95" s="19">
        <f t="shared" si="15"/>
        <v>0</v>
      </c>
      <c r="G95" s="2"/>
      <c r="H95" s="2">
        <v>381096.17</v>
      </c>
      <c r="I95" s="2"/>
      <c r="J95" s="19">
        <f t="shared" si="16"/>
        <v>0.29135446662965481</v>
      </c>
      <c r="K95" s="2"/>
      <c r="L95" s="2">
        <f t="shared" si="17"/>
        <v>-381096.17</v>
      </c>
      <c r="M95" s="2"/>
      <c r="N95" s="19">
        <f t="shared" si="18"/>
        <v>-1</v>
      </c>
      <c r="O95" s="11"/>
      <c r="P95" s="2">
        <v>0</v>
      </c>
      <c r="Q95" s="2"/>
      <c r="R95" s="19">
        <f t="shared" si="19"/>
        <v>0</v>
      </c>
      <c r="S95" s="2"/>
      <c r="T95" s="2">
        <v>1659009.21</v>
      </c>
      <c r="U95" s="2"/>
      <c r="V95" s="19">
        <f t="shared" si="20"/>
        <v>0.31408882055384019</v>
      </c>
      <c r="W95" s="2"/>
      <c r="X95" s="2">
        <f t="shared" si="21"/>
        <v>-1659009.21</v>
      </c>
      <c r="Y95" s="2"/>
      <c r="Z95" s="19">
        <f t="shared" si="22"/>
        <v>-1</v>
      </c>
    </row>
    <row r="96" spans="1:26" s="24" customFormat="1" hidden="1" outlineLevel="1" x14ac:dyDescent="0.3">
      <c r="A96" s="44"/>
      <c r="B96" s="11" t="str">
        <f>CONCATENATE("          ", "5002", " - ", "PURCHASES @ COST-USED TEXT")</f>
        <v xml:space="preserve">          5002 - PURCHASES @ COST-USED TEXT</v>
      </c>
      <c r="C96" s="11"/>
      <c r="D96" s="2"/>
      <c r="E96" s="2"/>
      <c r="F96" s="19">
        <f t="shared" si="15"/>
        <v>0</v>
      </c>
      <c r="G96" s="2"/>
      <c r="H96" s="2">
        <v>95863.360000000001</v>
      </c>
      <c r="I96" s="2"/>
      <c r="J96" s="19">
        <f t="shared" si="16"/>
        <v>7.3289159852030494E-2</v>
      </c>
      <c r="K96" s="2"/>
      <c r="L96" s="2">
        <f t="shared" si="17"/>
        <v>-95863.360000000001</v>
      </c>
      <c r="M96" s="2"/>
      <c r="N96" s="19">
        <f t="shared" si="18"/>
        <v>-1</v>
      </c>
      <c r="O96" s="11"/>
      <c r="P96" s="2">
        <v>0</v>
      </c>
      <c r="Q96" s="2"/>
      <c r="R96" s="19">
        <f t="shared" si="19"/>
        <v>0</v>
      </c>
      <c r="S96" s="2"/>
      <c r="T96" s="2">
        <v>260336.28</v>
      </c>
      <c r="U96" s="2"/>
      <c r="V96" s="19">
        <f t="shared" si="20"/>
        <v>4.9287680044027178E-2</v>
      </c>
      <c r="W96" s="2"/>
      <c r="X96" s="2">
        <f t="shared" si="21"/>
        <v>-260336.28</v>
      </c>
      <c r="Y96" s="2"/>
      <c r="Z96" s="19">
        <f t="shared" si="22"/>
        <v>-1</v>
      </c>
    </row>
    <row r="97" spans="1:26" s="24" customFormat="1" hidden="1" outlineLevel="1" x14ac:dyDescent="0.3">
      <c r="A97" s="44"/>
      <c r="B97" s="11" t="str">
        <f>CONCATENATE("          ", "5003", " - ", "PURCHASES @ COST-RENTAL TEXT")</f>
        <v xml:space="preserve">          5003 - PURCHASES @ COST-RENTAL TEXT</v>
      </c>
      <c r="C97" s="11"/>
      <c r="D97" s="2"/>
      <c r="E97" s="2"/>
      <c r="F97" s="19">
        <f t="shared" si="15"/>
        <v>0</v>
      </c>
      <c r="G97" s="2"/>
      <c r="H97" s="2"/>
      <c r="I97" s="2"/>
      <c r="J97" s="19">
        <f t="shared" si="16"/>
        <v>0</v>
      </c>
      <c r="K97" s="2"/>
      <c r="L97" s="2">
        <f t="shared" si="17"/>
        <v>0</v>
      </c>
      <c r="M97" s="2"/>
      <c r="N97" s="19">
        <f t="shared" si="18"/>
        <v>0</v>
      </c>
      <c r="O97" s="11"/>
      <c r="P97" s="2"/>
      <c r="Q97" s="2"/>
      <c r="R97" s="19">
        <f t="shared" si="19"/>
        <v>0</v>
      </c>
      <c r="S97" s="2"/>
      <c r="T97" s="2">
        <v>32.520000000000003</v>
      </c>
      <c r="U97" s="2"/>
      <c r="V97" s="19">
        <f t="shared" si="20"/>
        <v>6.1567882702778269E-6</v>
      </c>
      <c r="W97" s="2"/>
      <c r="X97" s="2">
        <f t="shared" si="21"/>
        <v>-32.520000000000003</v>
      </c>
      <c r="Y97" s="2"/>
      <c r="Z97" s="19">
        <f t="shared" si="22"/>
        <v>-1</v>
      </c>
    </row>
    <row r="98" spans="1:26" s="24" customFormat="1" hidden="1" outlineLevel="1" x14ac:dyDescent="0.3">
      <c r="A98" s="44"/>
      <c r="B98" s="11" t="str">
        <f>CONCATENATE("          ", "5004", " - ", "PURCHASES @ COST-DIGITAL TEXT")</f>
        <v xml:space="preserve">          5004 - PURCHASES @ COST-DIGITAL TEXT</v>
      </c>
      <c r="C98" s="11"/>
      <c r="D98" s="2"/>
      <c r="E98" s="2"/>
      <c r="F98" s="19">
        <f t="shared" si="15"/>
        <v>0</v>
      </c>
      <c r="G98" s="2"/>
      <c r="H98" s="2">
        <v>18888.45</v>
      </c>
      <c r="I98" s="2"/>
      <c r="J98" s="19">
        <f t="shared" si="16"/>
        <v>1.4440539444967142E-2</v>
      </c>
      <c r="K98" s="2"/>
      <c r="L98" s="2">
        <f t="shared" si="17"/>
        <v>-18888.45</v>
      </c>
      <c r="M98" s="2"/>
      <c r="N98" s="19">
        <f t="shared" si="18"/>
        <v>-1</v>
      </c>
      <c r="O98" s="11"/>
      <c r="P98" s="2">
        <v>0</v>
      </c>
      <c r="Q98" s="2"/>
      <c r="R98" s="19">
        <f t="shared" si="19"/>
        <v>0</v>
      </c>
      <c r="S98" s="2"/>
      <c r="T98" s="2">
        <v>216726.56</v>
      </c>
      <c r="U98" s="2"/>
      <c r="V98" s="19">
        <f t="shared" si="20"/>
        <v>4.1031351244331597E-2</v>
      </c>
      <c r="W98" s="2"/>
      <c r="X98" s="2">
        <f t="shared" si="21"/>
        <v>-216726.56</v>
      </c>
      <c r="Y98" s="2"/>
      <c r="Z98" s="19">
        <f t="shared" si="22"/>
        <v>-1</v>
      </c>
    </row>
    <row r="99" spans="1:26" s="24" customFormat="1" hidden="1" outlineLevel="1" x14ac:dyDescent="0.3">
      <c r="A99" s="44"/>
      <c r="B99" s="11" t="str">
        <f>CONCATENATE("          ", "5011", " - ", "PURCHASES @ COST-NO VALUE TEXT")</f>
        <v xml:space="preserve">          5011 - PURCHASES @ COST-NO VALUE TEXT</v>
      </c>
      <c r="C99" s="11"/>
      <c r="D99" s="2"/>
      <c r="E99" s="2"/>
      <c r="F99" s="19">
        <f t="shared" si="15"/>
        <v>0</v>
      </c>
      <c r="G99" s="2"/>
      <c r="H99" s="2"/>
      <c r="I99" s="2"/>
      <c r="J99" s="19">
        <f t="shared" si="16"/>
        <v>0</v>
      </c>
      <c r="K99" s="2"/>
      <c r="L99" s="2">
        <f t="shared" si="17"/>
        <v>0</v>
      </c>
      <c r="M99" s="2"/>
      <c r="N99" s="19">
        <f t="shared" si="18"/>
        <v>0</v>
      </c>
      <c r="O99" s="11"/>
      <c r="P99" s="2"/>
      <c r="Q99" s="2"/>
      <c r="R99" s="19">
        <f t="shared" si="19"/>
        <v>0</v>
      </c>
      <c r="S99" s="2"/>
      <c r="T99" s="2">
        <v>67.17</v>
      </c>
      <c r="U99" s="2"/>
      <c r="V99" s="19">
        <f t="shared" si="20"/>
        <v>1.2716834812870899E-5</v>
      </c>
      <c r="W99" s="2"/>
      <c r="X99" s="2">
        <f t="shared" si="21"/>
        <v>-67.17</v>
      </c>
      <c r="Y99" s="2"/>
      <c r="Z99" s="19">
        <f t="shared" si="22"/>
        <v>-1</v>
      </c>
    </row>
    <row r="100" spans="1:26" s="24" customFormat="1" hidden="1" outlineLevel="1" x14ac:dyDescent="0.3">
      <c r="A100" s="44"/>
      <c r="B100" s="11" t="str">
        <f>CONCATENATE("          ", "5013", " - ", "PURCHASES @ COST-TRADE BOOKS")</f>
        <v xml:space="preserve">          5013 - PURCHASES @ COST-TRADE BOOKS</v>
      </c>
      <c r="C100" s="11"/>
      <c r="D100" s="2"/>
      <c r="E100" s="2"/>
      <c r="F100" s="19">
        <f t="shared" si="15"/>
        <v>0</v>
      </c>
      <c r="G100" s="2"/>
      <c r="H100" s="2">
        <v>3531.13</v>
      </c>
      <c r="I100" s="2"/>
      <c r="J100" s="19">
        <f t="shared" si="16"/>
        <v>2.6996085994513484E-3</v>
      </c>
      <c r="K100" s="2"/>
      <c r="L100" s="2">
        <f t="shared" si="17"/>
        <v>-3531.13</v>
      </c>
      <c r="M100" s="2"/>
      <c r="N100" s="19">
        <f t="shared" si="18"/>
        <v>-1</v>
      </c>
      <c r="O100" s="11"/>
      <c r="P100" s="2"/>
      <c r="Q100" s="2"/>
      <c r="R100" s="19">
        <f t="shared" si="19"/>
        <v>0</v>
      </c>
      <c r="S100" s="2"/>
      <c r="T100" s="2">
        <v>5656.98</v>
      </c>
      <c r="U100" s="2"/>
      <c r="V100" s="19">
        <f t="shared" si="20"/>
        <v>1.0709971743295282E-3</v>
      </c>
      <c r="W100" s="2"/>
      <c r="X100" s="2">
        <f t="shared" si="21"/>
        <v>-5656.98</v>
      </c>
      <c r="Y100" s="2"/>
      <c r="Z100" s="19">
        <f t="shared" si="22"/>
        <v>-1</v>
      </c>
    </row>
    <row r="101" spans="1:26" s="24" customFormat="1" hidden="1" outlineLevel="1" x14ac:dyDescent="0.3">
      <c r="A101" s="44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19">
        <f t="shared" si="15"/>
        <v>0</v>
      </c>
      <c r="G101" s="2"/>
      <c r="H101" s="2"/>
      <c r="I101" s="2"/>
      <c r="J101" s="19">
        <f t="shared" si="16"/>
        <v>0</v>
      </c>
      <c r="K101" s="2"/>
      <c r="L101" s="2">
        <f t="shared" si="17"/>
        <v>0</v>
      </c>
      <c r="M101" s="2"/>
      <c r="N101" s="19">
        <f t="shared" si="18"/>
        <v>0</v>
      </c>
      <c r="O101" s="11"/>
      <c r="P101" s="2"/>
      <c r="Q101" s="2"/>
      <c r="R101" s="19">
        <f t="shared" si="19"/>
        <v>0</v>
      </c>
      <c r="S101" s="2"/>
      <c r="T101" s="2">
        <v>90.41</v>
      </c>
      <c r="U101" s="2"/>
      <c r="V101" s="19">
        <f t="shared" si="20"/>
        <v>1.7116704413155542E-5</v>
      </c>
      <c r="W101" s="2"/>
      <c r="X101" s="2">
        <f t="shared" si="21"/>
        <v>-90.41</v>
      </c>
      <c r="Y101" s="2"/>
      <c r="Z101" s="19">
        <f t="shared" si="22"/>
        <v>-1</v>
      </c>
    </row>
    <row r="102" spans="1:26" s="24" customFormat="1" hidden="1" outlineLevel="1" x14ac:dyDescent="0.3">
      <c r="A102" s="44"/>
      <c r="B102" s="11" t="str">
        <f>CONCATENATE("          ", "5018", " - ", "PURCHASES @ COST-STUDY GUIDES")</f>
        <v xml:space="preserve">          5018 - PURCHASES @ COST-STUDY GUIDES</v>
      </c>
      <c r="C102" s="11"/>
      <c r="D102" s="2"/>
      <c r="E102" s="2"/>
      <c r="F102" s="19">
        <f t="shared" si="15"/>
        <v>0</v>
      </c>
      <c r="G102" s="2"/>
      <c r="H102" s="2">
        <v>416</v>
      </c>
      <c r="I102" s="2"/>
      <c r="J102" s="19">
        <f t="shared" si="16"/>
        <v>3.1803903491849946E-4</v>
      </c>
      <c r="K102" s="2"/>
      <c r="L102" s="2">
        <f t="shared" si="17"/>
        <v>-416</v>
      </c>
      <c r="M102" s="2"/>
      <c r="N102" s="19">
        <f t="shared" si="18"/>
        <v>-1</v>
      </c>
      <c r="O102" s="11"/>
      <c r="P102" s="2"/>
      <c r="Q102" s="2"/>
      <c r="R102" s="19">
        <f t="shared" si="19"/>
        <v>0</v>
      </c>
      <c r="S102" s="2"/>
      <c r="T102" s="2">
        <v>522.34</v>
      </c>
      <c r="U102" s="2"/>
      <c r="V102" s="19">
        <f t="shared" si="20"/>
        <v>9.8891045052180816E-5</v>
      </c>
      <c r="W102" s="2"/>
      <c r="X102" s="2">
        <f t="shared" si="21"/>
        <v>-522.34</v>
      </c>
      <c r="Y102" s="2"/>
      <c r="Z102" s="19">
        <f t="shared" si="22"/>
        <v>-1</v>
      </c>
    </row>
    <row r="103" spans="1:26" s="24" customFormat="1" hidden="1" outlineLevel="1" x14ac:dyDescent="0.3">
      <c r="A103" s="44"/>
      <c r="B103" s="11" t="str">
        <f>CONCATENATE("          ", "5025", " - ", "PURCHASES @ COST-TEST FORMS")</f>
        <v xml:space="preserve">          5025 - PURCHASES @ COST-TEST FORMS</v>
      </c>
      <c r="C103" s="11"/>
      <c r="D103" s="2"/>
      <c r="E103" s="2"/>
      <c r="F103" s="19">
        <f t="shared" si="15"/>
        <v>0</v>
      </c>
      <c r="G103" s="2"/>
      <c r="H103" s="2"/>
      <c r="I103" s="2"/>
      <c r="J103" s="19">
        <f t="shared" si="16"/>
        <v>0</v>
      </c>
      <c r="K103" s="2"/>
      <c r="L103" s="2">
        <f t="shared" si="17"/>
        <v>0</v>
      </c>
      <c r="M103" s="2"/>
      <c r="N103" s="19">
        <f t="shared" si="18"/>
        <v>0</v>
      </c>
      <c r="O103" s="11"/>
      <c r="P103" s="2"/>
      <c r="Q103" s="2"/>
      <c r="R103" s="19">
        <f t="shared" si="19"/>
        <v>0</v>
      </c>
      <c r="S103" s="2"/>
      <c r="T103" s="2">
        <v>599.29</v>
      </c>
      <c r="U103" s="2"/>
      <c r="V103" s="19">
        <f t="shared" si="20"/>
        <v>1.1345946010131607E-4</v>
      </c>
      <c r="W103" s="2"/>
      <c r="X103" s="2">
        <f t="shared" si="21"/>
        <v>-599.29</v>
      </c>
      <c r="Y103" s="2"/>
      <c r="Z103" s="19">
        <f t="shared" si="22"/>
        <v>-1</v>
      </c>
    </row>
    <row r="104" spans="1:26" s="24" customFormat="1" hidden="1" outlineLevel="1" x14ac:dyDescent="0.3">
      <c r="A104" s="44"/>
      <c r="B104" s="11" t="str">
        <f>CONCATENATE("          ", "5026", " - ", "PURCHASES @ COST-WRITING INSTR")</f>
        <v xml:space="preserve">          5026 - PURCHASES @ COST-WRITING INSTR</v>
      </c>
      <c r="C104" s="11"/>
      <c r="D104" s="2"/>
      <c r="E104" s="2"/>
      <c r="F104" s="19">
        <f t="shared" si="15"/>
        <v>0</v>
      </c>
      <c r="G104" s="2"/>
      <c r="H104" s="2"/>
      <c r="I104" s="2"/>
      <c r="J104" s="19">
        <f t="shared" si="16"/>
        <v>0</v>
      </c>
      <c r="K104" s="2"/>
      <c r="L104" s="2">
        <f t="shared" si="17"/>
        <v>0</v>
      </c>
      <c r="M104" s="2"/>
      <c r="N104" s="19">
        <f t="shared" si="18"/>
        <v>0</v>
      </c>
      <c r="O104" s="11"/>
      <c r="P104" s="2">
        <v>0</v>
      </c>
      <c r="Q104" s="2"/>
      <c r="R104" s="19">
        <f t="shared" si="19"/>
        <v>0</v>
      </c>
      <c r="S104" s="2"/>
      <c r="T104" s="2">
        <v>374.91</v>
      </c>
      <c r="U104" s="2"/>
      <c r="V104" s="19">
        <f t="shared" si="20"/>
        <v>7.0979135621459415E-5</v>
      </c>
      <c r="W104" s="2"/>
      <c r="X104" s="2">
        <f t="shared" si="21"/>
        <v>-374.91</v>
      </c>
      <c r="Y104" s="2"/>
      <c r="Z104" s="19">
        <f t="shared" si="22"/>
        <v>-1</v>
      </c>
    </row>
    <row r="105" spans="1:26" s="24" customFormat="1" hidden="1" outlineLevel="1" x14ac:dyDescent="0.3">
      <c r="A105" s="44"/>
      <c r="B105" s="11" t="str">
        <f>CONCATENATE("          ", "5027", " - ", "PURCHASES @ COST-SCHOOL SUPPLI")</f>
        <v xml:space="preserve">          5027 - PURCHASES @ COST-SCHOOL SUPPLI</v>
      </c>
      <c r="C105" s="11"/>
      <c r="D105" s="2"/>
      <c r="E105" s="2"/>
      <c r="F105" s="19">
        <f t="shared" si="15"/>
        <v>0</v>
      </c>
      <c r="G105" s="2"/>
      <c r="H105" s="2"/>
      <c r="I105" s="2"/>
      <c r="J105" s="19">
        <f t="shared" si="16"/>
        <v>0</v>
      </c>
      <c r="K105" s="2"/>
      <c r="L105" s="2">
        <f t="shared" si="17"/>
        <v>0</v>
      </c>
      <c r="M105" s="2"/>
      <c r="N105" s="19">
        <f t="shared" si="18"/>
        <v>0</v>
      </c>
      <c r="O105" s="11"/>
      <c r="P105" s="2">
        <v>0</v>
      </c>
      <c r="Q105" s="2"/>
      <c r="R105" s="19">
        <f t="shared" si="19"/>
        <v>0</v>
      </c>
      <c r="S105" s="2"/>
      <c r="T105" s="2">
        <v>19071.349999999999</v>
      </c>
      <c r="U105" s="2"/>
      <c r="V105" s="19">
        <f t="shared" si="20"/>
        <v>3.6106477238119009E-3</v>
      </c>
      <c r="W105" s="2"/>
      <c r="X105" s="2">
        <f t="shared" si="21"/>
        <v>-19071.349999999999</v>
      </c>
      <c r="Y105" s="2"/>
      <c r="Z105" s="19">
        <f t="shared" si="22"/>
        <v>-1</v>
      </c>
    </row>
    <row r="106" spans="1:26" s="24" customFormat="1" hidden="1" outlineLevel="1" x14ac:dyDescent="0.3">
      <c r="A106" s="44"/>
      <c r="B106" s="11" t="str">
        <f>CONCATENATE("          ", "5028", " - ", "PURCHASES @ COST-ART/TECH")</f>
        <v xml:space="preserve">          5028 - PURCHASES @ COST-ART/TECH</v>
      </c>
      <c r="C106" s="11"/>
      <c r="D106" s="2"/>
      <c r="E106" s="2"/>
      <c r="F106" s="19">
        <f t="shared" si="15"/>
        <v>0</v>
      </c>
      <c r="G106" s="2"/>
      <c r="H106" s="2"/>
      <c r="I106" s="2"/>
      <c r="J106" s="19">
        <f t="shared" si="16"/>
        <v>0</v>
      </c>
      <c r="K106" s="2"/>
      <c r="L106" s="2">
        <f t="shared" si="17"/>
        <v>0</v>
      </c>
      <c r="M106" s="2"/>
      <c r="N106" s="19">
        <f t="shared" si="18"/>
        <v>0</v>
      </c>
      <c r="O106" s="11"/>
      <c r="P106" s="2">
        <v>0</v>
      </c>
      <c r="Q106" s="2"/>
      <c r="R106" s="19">
        <f t="shared" si="19"/>
        <v>0</v>
      </c>
      <c r="S106" s="2"/>
      <c r="T106" s="2">
        <v>41358.449999999997</v>
      </c>
      <c r="U106" s="2"/>
      <c r="V106" s="19">
        <f t="shared" si="20"/>
        <v>7.8301113110969232E-3</v>
      </c>
      <c r="W106" s="2"/>
      <c r="X106" s="2">
        <f t="shared" si="21"/>
        <v>-41358.449999999997</v>
      </c>
      <c r="Y106" s="2"/>
      <c r="Z106" s="19">
        <f t="shared" si="22"/>
        <v>-1</v>
      </c>
    </row>
    <row r="107" spans="1:26" s="24" customFormat="1" hidden="1" outlineLevel="1" x14ac:dyDescent="0.3">
      <c r="A107" s="44"/>
      <c r="B107" s="11" t="str">
        <f>CONCATENATE("          ", "5031", " - ", "PURCHASES @ COST-FOOD")</f>
        <v xml:space="preserve">          5031 - PURCHASES @ COST-FOOD</v>
      </c>
      <c r="C107" s="11"/>
      <c r="D107" s="2"/>
      <c r="E107" s="2"/>
      <c r="F107" s="19">
        <f t="shared" si="15"/>
        <v>0</v>
      </c>
      <c r="G107" s="2"/>
      <c r="H107" s="2">
        <v>239.16</v>
      </c>
      <c r="I107" s="2"/>
      <c r="J107" s="19">
        <f t="shared" si="16"/>
        <v>1.8284186440170272E-4</v>
      </c>
      <c r="K107" s="2"/>
      <c r="L107" s="2">
        <f t="shared" si="17"/>
        <v>-239.16</v>
      </c>
      <c r="M107" s="2"/>
      <c r="N107" s="19">
        <f t="shared" si="18"/>
        <v>-1</v>
      </c>
      <c r="O107" s="11"/>
      <c r="P107" s="2">
        <v>0</v>
      </c>
      <c r="Q107" s="2"/>
      <c r="R107" s="19">
        <f t="shared" si="19"/>
        <v>0</v>
      </c>
      <c r="S107" s="2"/>
      <c r="T107" s="2">
        <v>7514.26</v>
      </c>
      <c r="U107" s="2"/>
      <c r="V107" s="19">
        <f t="shared" si="20"/>
        <v>1.4226232419378186E-3</v>
      </c>
      <c r="W107" s="2"/>
      <c r="X107" s="2">
        <f t="shared" si="21"/>
        <v>-7514.26</v>
      </c>
      <c r="Y107" s="2"/>
      <c r="Z107" s="19">
        <f t="shared" si="22"/>
        <v>-1</v>
      </c>
    </row>
    <row r="108" spans="1:26" s="24" customFormat="1" hidden="1" outlineLevel="1" x14ac:dyDescent="0.3">
      <c r="A108" s="44"/>
      <c r="B108" s="11" t="str">
        <f>CONCATENATE("          ", "5040", " - ", "PURCHASES @ COST-LOGO CLOTHING")</f>
        <v xml:space="preserve">          5040 - PURCHASES @ COST-LOGO CLOTHING</v>
      </c>
      <c r="C108" s="11"/>
      <c r="D108" s="2"/>
      <c r="E108" s="2"/>
      <c r="F108" s="19">
        <f t="shared" si="15"/>
        <v>0</v>
      </c>
      <c r="G108" s="2"/>
      <c r="H108" s="2">
        <v>34900.79</v>
      </c>
      <c r="I108" s="2"/>
      <c r="J108" s="19">
        <f t="shared" si="16"/>
        <v>2.6682244157435617E-2</v>
      </c>
      <c r="K108" s="2"/>
      <c r="L108" s="2">
        <f t="shared" si="17"/>
        <v>-34900.79</v>
      </c>
      <c r="M108" s="2"/>
      <c r="N108" s="19">
        <f t="shared" si="18"/>
        <v>-1</v>
      </c>
      <c r="O108" s="11"/>
      <c r="P108" s="2">
        <v>0</v>
      </c>
      <c r="Q108" s="2"/>
      <c r="R108" s="19">
        <f t="shared" si="19"/>
        <v>0</v>
      </c>
      <c r="S108" s="2"/>
      <c r="T108" s="2">
        <v>167371.19</v>
      </c>
      <c r="U108" s="2"/>
      <c r="V108" s="19">
        <f t="shared" si="20"/>
        <v>3.1687237988143956E-2</v>
      </c>
      <c r="W108" s="2"/>
      <c r="X108" s="2">
        <f t="shared" si="21"/>
        <v>-167371.19</v>
      </c>
      <c r="Y108" s="2"/>
      <c r="Z108" s="19">
        <f t="shared" si="22"/>
        <v>-1</v>
      </c>
    </row>
    <row r="109" spans="1:26" s="24" customFormat="1" hidden="1" outlineLevel="1" x14ac:dyDescent="0.3">
      <c r="A109" s="44"/>
      <c r="B109" s="11" t="str">
        <f>CONCATENATE("          ", "5041", " - ", "PURCHASES @ COST-LOGO GIFTS")</f>
        <v xml:space="preserve">          5041 - PURCHASES @ COST-LOGO GIFTS</v>
      </c>
      <c r="C109" s="11"/>
      <c r="D109" s="2"/>
      <c r="E109" s="2"/>
      <c r="F109" s="19">
        <f t="shared" si="15"/>
        <v>0</v>
      </c>
      <c r="G109" s="2"/>
      <c r="H109" s="2">
        <v>8769.24</v>
      </c>
      <c r="I109" s="2"/>
      <c r="J109" s="19">
        <f t="shared" si="16"/>
        <v>6.7042322754055335E-3</v>
      </c>
      <c r="K109" s="2"/>
      <c r="L109" s="2">
        <f t="shared" si="17"/>
        <v>-8769.24</v>
      </c>
      <c r="M109" s="2"/>
      <c r="N109" s="19">
        <f t="shared" si="18"/>
        <v>-1</v>
      </c>
      <c r="O109" s="11"/>
      <c r="P109" s="2">
        <v>0</v>
      </c>
      <c r="Q109" s="2"/>
      <c r="R109" s="19">
        <f t="shared" si="19"/>
        <v>0</v>
      </c>
      <c r="S109" s="2"/>
      <c r="T109" s="2">
        <v>40971</v>
      </c>
      <c r="U109" s="2"/>
      <c r="V109" s="19">
        <f t="shared" si="20"/>
        <v>7.7567580633933833E-3</v>
      </c>
      <c r="W109" s="2"/>
      <c r="X109" s="2">
        <f t="shared" si="21"/>
        <v>-40971</v>
      </c>
      <c r="Y109" s="2"/>
      <c r="Z109" s="19">
        <f t="shared" si="22"/>
        <v>-1</v>
      </c>
    </row>
    <row r="110" spans="1:26" s="24" customFormat="1" hidden="1" outlineLevel="1" x14ac:dyDescent="0.3">
      <c r="A110" s="44"/>
      <c r="B110" s="11" t="str">
        <f>CONCATENATE("          ", "5042", " - ", "PURCHASES @ COST-EVERYDAY GIFT")</f>
        <v xml:space="preserve">          5042 - PURCHASES @ COST-EVERYDAY GIFT</v>
      </c>
      <c r="C110" s="11"/>
      <c r="D110" s="2"/>
      <c r="E110" s="2"/>
      <c r="F110" s="19">
        <f t="shared" si="15"/>
        <v>0</v>
      </c>
      <c r="G110" s="2"/>
      <c r="H110" s="2">
        <v>6760.7</v>
      </c>
      <c r="I110" s="2"/>
      <c r="J110" s="19">
        <f t="shared" si="16"/>
        <v>5.1686694792632193E-3</v>
      </c>
      <c r="K110" s="2"/>
      <c r="L110" s="2">
        <f t="shared" si="17"/>
        <v>-6760.7</v>
      </c>
      <c r="M110" s="2"/>
      <c r="N110" s="19">
        <f t="shared" si="18"/>
        <v>-1</v>
      </c>
      <c r="O110" s="11"/>
      <c r="P110" s="2">
        <v>0</v>
      </c>
      <c r="Q110" s="2"/>
      <c r="R110" s="19">
        <f t="shared" si="19"/>
        <v>0</v>
      </c>
      <c r="S110" s="2"/>
      <c r="T110" s="2">
        <v>17821.98</v>
      </c>
      <c r="U110" s="2"/>
      <c r="V110" s="19">
        <f t="shared" si="20"/>
        <v>3.3741130817074422E-3</v>
      </c>
      <c r="W110" s="2"/>
      <c r="X110" s="2">
        <f t="shared" si="21"/>
        <v>-17821.98</v>
      </c>
      <c r="Y110" s="2"/>
      <c r="Z110" s="19">
        <f t="shared" si="22"/>
        <v>-1</v>
      </c>
    </row>
    <row r="111" spans="1:26" s="24" customFormat="1" hidden="1" outlineLevel="1" x14ac:dyDescent="0.3">
      <c r="A111" s="44"/>
      <c r="B111" s="11" t="str">
        <f>CONCATENATE("          ", "5043", " - ", "PURCHASES @ COST-CARDS")</f>
        <v xml:space="preserve">          5043 - PURCHASES @ COST-CARDS</v>
      </c>
      <c r="C111" s="11"/>
      <c r="D111" s="2"/>
      <c r="E111" s="2"/>
      <c r="F111" s="19">
        <f t="shared" si="15"/>
        <v>0</v>
      </c>
      <c r="G111" s="2"/>
      <c r="H111" s="2">
        <v>8743.1</v>
      </c>
      <c r="I111" s="2"/>
      <c r="J111" s="19">
        <f t="shared" si="16"/>
        <v>6.6842478033556077E-3</v>
      </c>
      <c r="K111" s="2"/>
      <c r="L111" s="2">
        <f t="shared" si="17"/>
        <v>-8743.1</v>
      </c>
      <c r="M111" s="2"/>
      <c r="N111" s="19">
        <f t="shared" si="18"/>
        <v>-1</v>
      </c>
      <c r="O111" s="11"/>
      <c r="P111" s="2">
        <v>0</v>
      </c>
      <c r="Q111" s="2"/>
      <c r="R111" s="19">
        <f t="shared" si="19"/>
        <v>0</v>
      </c>
      <c r="S111" s="2"/>
      <c r="T111" s="2">
        <v>55364.33</v>
      </c>
      <c r="U111" s="2"/>
      <c r="V111" s="19">
        <f t="shared" si="20"/>
        <v>1.0481748386709434E-2</v>
      </c>
      <c r="W111" s="2"/>
      <c r="X111" s="2">
        <f t="shared" si="21"/>
        <v>-55364.33</v>
      </c>
      <c r="Y111" s="2"/>
      <c r="Z111" s="19">
        <f t="shared" si="22"/>
        <v>-1</v>
      </c>
    </row>
    <row r="112" spans="1:26" s="24" customFormat="1" hidden="1" outlineLevel="1" x14ac:dyDescent="0.3">
      <c r="A112" s="44"/>
      <c r="B112" s="11" t="str">
        <f>CONCATENATE("          ", "5044", " - ", "PURCHASES @ COST-ACCESSORIES")</f>
        <v xml:space="preserve">          5044 - PURCHASES @ COST-ACCESSORIES</v>
      </c>
      <c r="C112" s="11"/>
      <c r="D112" s="2"/>
      <c r="E112" s="2"/>
      <c r="F112" s="19">
        <f t="shared" si="15"/>
        <v>0</v>
      </c>
      <c r="G112" s="2"/>
      <c r="H112" s="2">
        <v>782.5</v>
      </c>
      <c r="I112" s="2"/>
      <c r="J112" s="19">
        <f t="shared" si="16"/>
        <v>5.9823448274934094E-4</v>
      </c>
      <c r="K112" s="2"/>
      <c r="L112" s="2">
        <f t="shared" si="17"/>
        <v>-782.5</v>
      </c>
      <c r="M112" s="2"/>
      <c r="N112" s="19">
        <f t="shared" si="18"/>
        <v>-1</v>
      </c>
      <c r="O112" s="11"/>
      <c r="P112" s="2">
        <v>0</v>
      </c>
      <c r="Q112" s="2"/>
      <c r="R112" s="19">
        <f t="shared" si="19"/>
        <v>0</v>
      </c>
      <c r="S112" s="2"/>
      <c r="T112" s="2">
        <v>1064.83</v>
      </c>
      <c r="U112" s="2"/>
      <c r="V112" s="19">
        <f t="shared" si="20"/>
        <v>2.0159695122509033E-4</v>
      </c>
      <c r="W112" s="2"/>
      <c r="X112" s="2">
        <f t="shared" si="21"/>
        <v>-1064.83</v>
      </c>
      <c r="Y112" s="2"/>
      <c r="Z112" s="19">
        <f t="shared" si="22"/>
        <v>-1</v>
      </c>
    </row>
    <row r="113" spans="1:26" s="24" customFormat="1" hidden="1" outlineLevel="1" x14ac:dyDescent="0.3">
      <c r="A113" s="44"/>
      <c r="B113" s="11" t="str">
        <f>CONCATENATE("          ", "5045", " - ", "PURCHASES @ COST-SPECIAL ORDER")</f>
        <v xml:space="preserve">          5045 - PURCHASES @ COST-SPECIAL ORDER</v>
      </c>
      <c r="C113" s="11"/>
      <c r="D113" s="2"/>
      <c r="E113" s="2"/>
      <c r="F113" s="19">
        <f t="shared" si="15"/>
        <v>0</v>
      </c>
      <c r="G113" s="2"/>
      <c r="H113" s="2">
        <v>5855.38</v>
      </c>
      <c r="I113" s="2"/>
      <c r="J113" s="19">
        <f t="shared" si="16"/>
        <v>4.4765370295218347E-3</v>
      </c>
      <c r="K113" s="2"/>
      <c r="L113" s="2">
        <f t="shared" si="17"/>
        <v>-5855.38</v>
      </c>
      <c r="M113" s="2"/>
      <c r="N113" s="19">
        <f t="shared" si="18"/>
        <v>-1</v>
      </c>
      <c r="O113" s="11"/>
      <c r="P113" s="2">
        <v>0</v>
      </c>
      <c r="Q113" s="2"/>
      <c r="R113" s="19">
        <f t="shared" si="19"/>
        <v>0</v>
      </c>
      <c r="S113" s="2"/>
      <c r="T113" s="2">
        <v>93464.38</v>
      </c>
      <c r="U113" s="2"/>
      <c r="V113" s="19">
        <f t="shared" si="20"/>
        <v>1.7694969202730306E-2</v>
      </c>
      <c r="W113" s="2"/>
      <c r="X113" s="2">
        <f t="shared" si="21"/>
        <v>-93464.38</v>
      </c>
      <c r="Y113" s="2"/>
      <c r="Z113" s="19">
        <f t="shared" si="22"/>
        <v>-1</v>
      </c>
    </row>
    <row r="114" spans="1:26" s="24" customFormat="1" hidden="1" outlineLevel="1" x14ac:dyDescent="0.3">
      <c r="A114" s="44"/>
      <c r="B114" s="11" t="str">
        <f>CONCATENATE("          ", "5081", " - ", "PURCHASES @ COST-ELECTRONICS")</f>
        <v xml:space="preserve">          5081 - PURCHASES @ COST-ELECTRONICS</v>
      </c>
      <c r="C114" s="11"/>
      <c r="D114" s="2"/>
      <c r="E114" s="2"/>
      <c r="F114" s="19">
        <f t="shared" si="15"/>
        <v>0</v>
      </c>
      <c r="G114" s="2"/>
      <c r="H114" s="2">
        <v>313.26</v>
      </c>
      <c r="I114" s="2"/>
      <c r="J114" s="19">
        <f t="shared" si="16"/>
        <v>2.3949256749656041E-4</v>
      </c>
      <c r="K114" s="2"/>
      <c r="L114" s="2">
        <f t="shared" si="17"/>
        <v>-313.26</v>
      </c>
      <c r="M114" s="2"/>
      <c r="N114" s="19">
        <f t="shared" si="18"/>
        <v>-1</v>
      </c>
      <c r="O114" s="11"/>
      <c r="P114" s="2">
        <v>0</v>
      </c>
      <c r="Q114" s="2"/>
      <c r="R114" s="19">
        <f t="shared" si="19"/>
        <v>0</v>
      </c>
      <c r="S114" s="2"/>
      <c r="T114" s="2">
        <v>25573.77</v>
      </c>
      <c r="U114" s="2"/>
      <c r="V114" s="19">
        <f t="shared" si="20"/>
        <v>4.84170624731805E-3</v>
      </c>
      <c r="W114" s="2"/>
      <c r="X114" s="2">
        <f t="shared" si="21"/>
        <v>-25573.77</v>
      </c>
      <c r="Y114" s="2"/>
      <c r="Z114" s="19">
        <f t="shared" si="22"/>
        <v>-1</v>
      </c>
    </row>
    <row r="115" spans="1:26" s="24" customFormat="1" hidden="1" outlineLevel="1" x14ac:dyDescent="0.3">
      <c r="A115" s="44"/>
      <c r="B115" s="11" t="str">
        <f>CONCATENATE("          ", "5082", " - ", "PURCHASES @ COST-COMPUTER HARD")</f>
        <v xml:space="preserve">          5082 - PURCHASES @ COST-COMPUTER HARD</v>
      </c>
      <c r="C115" s="11"/>
      <c r="D115" s="2">
        <v>-6938.92</v>
      </c>
      <c r="E115" s="2"/>
      <c r="F115" s="19">
        <f t="shared" si="15"/>
        <v>-7.6140461249725941E-3</v>
      </c>
      <c r="G115" s="2"/>
      <c r="H115" s="2">
        <v>98264.71</v>
      </c>
      <c r="I115" s="2"/>
      <c r="J115" s="19">
        <f t="shared" si="16"/>
        <v>7.5125032535928421E-2</v>
      </c>
      <c r="K115" s="2"/>
      <c r="L115" s="2">
        <f t="shared" si="17"/>
        <v>-105203.63</v>
      </c>
      <c r="M115" s="2"/>
      <c r="N115" s="19">
        <f t="shared" si="18"/>
        <v>-1.0706145675288716</v>
      </c>
      <c r="O115" s="11"/>
      <c r="P115" s="2">
        <v>-93808.4</v>
      </c>
      <c r="Q115" s="2"/>
      <c r="R115" s="19">
        <f t="shared" si="19"/>
        <v>-1.6935639759478545E-2</v>
      </c>
      <c r="S115" s="2"/>
      <c r="T115" s="2">
        <v>1079201.53</v>
      </c>
      <c r="U115" s="2"/>
      <c r="V115" s="19">
        <f t="shared" si="20"/>
        <v>0.20431781430411697</v>
      </c>
      <c r="W115" s="2"/>
      <c r="X115" s="2">
        <f t="shared" si="21"/>
        <v>-1173009.93</v>
      </c>
      <c r="Y115" s="2"/>
      <c r="Z115" s="19">
        <f t="shared" si="22"/>
        <v>-1.0869238945574882</v>
      </c>
    </row>
    <row r="116" spans="1:26" s="24" customFormat="1" hidden="1" outlineLevel="1" x14ac:dyDescent="0.3">
      <c r="A116" s="44"/>
      <c r="B116" s="11" t="str">
        <f>CONCATENATE("          ", "5083", " - ", "PURCHASES @ COST-COMPUTER EQUI")</f>
        <v xml:space="preserve">          5083 - PURCHASES @ COST-COMPUTER EQUI</v>
      </c>
      <c r="C116" s="11"/>
      <c r="D116" s="2"/>
      <c r="E116" s="2"/>
      <c r="F116" s="19">
        <f t="shared" si="15"/>
        <v>0</v>
      </c>
      <c r="G116" s="2"/>
      <c r="H116" s="2">
        <v>8829.83</v>
      </c>
      <c r="I116" s="2"/>
      <c r="J116" s="19">
        <f t="shared" si="16"/>
        <v>6.750554355034649E-3</v>
      </c>
      <c r="K116" s="2"/>
      <c r="L116" s="2">
        <f t="shared" si="17"/>
        <v>-8829.83</v>
      </c>
      <c r="M116" s="2"/>
      <c r="N116" s="19">
        <f t="shared" si="18"/>
        <v>-1</v>
      </c>
      <c r="O116" s="11"/>
      <c r="P116" s="2">
        <v>0</v>
      </c>
      <c r="Q116" s="2"/>
      <c r="R116" s="19">
        <f t="shared" si="19"/>
        <v>0</v>
      </c>
      <c r="S116" s="2"/>
      <c r="T116" s="2">
        <v>90556.67</v>
      </c>
      <c r="U116" s="2"/>
      <c r="V116" s="19">
        <f t="shared" si="20"/>
        <v>1.7144472437005533E-2</v>
      </c>
      <c r="W116" s="2"/>
      <c r="X116" s="2">
        <f t="shared" si="21"/>
        <v>-90556.67</v>
      </c>
      <c r="Y116" s="2"/>
      <c r="Z116" s="19">
        <f t="shared" si="22"/>
        <v>-1</v>
      </c>
    </row>
    <row r="117" spans="1:26" s="24" customFormat="1" hidden="1" outlineLevel="1" x14ac:dyDescent="0.3">
      <c r="A117" s="44"/>
      <c r="B117" s="11" t="str">
        <f>CONCATENATE("          ", "5085", " - ", "PURCHASES @ COST-SOFTWARE")</f>
        <v xml:space="preserve">          5085 - PURCHASES @ COST-SOFTWARE</v>
      </c>
      <c r="C117" s="11"/>
      <c r="D117" s="2"/>
      <c r="E117" s="2"/>
      <c r="F117" s="19">
        <f t="shared" si="15"/>
        <v>0</v>
      </c>
      <c r="G117" s="2"/>
      <c r="H117" s="2">
        <v>4174.1400000000003</v>
      </c>
      <c r="I117" s="2"/>
      <c r="J117" s="19">
        <f t="shared" si="16"/>
        <v>3.1912006183045802E-3</v>
      </c>
      <c r="K117" s="2"/>
      <c r="L117" s="2">
        <f t="shared" si="17"/>
        <v>-4174.1400000000003</v>
      </c>
      <c r="M117" s="2"/>
      <c r="N117" s="19">
        <f t="shared" si="18"/>
        <v>-1</v>
      </c>
      <c r="O117" s="11"/>
      <c r="P117" s="2">
        <v>0</v>
      </c>
      <c r="Q117" s="2"/>
      <c r="R117" s="19">
        <f t="shared" si="19"/>
        <v>0</v>
      </c>
      <c r="S117" s="2"/>
      <c r="T117" s="2">
        <v>28746.22</v>
      </c>
      <c r="U117" s="2"/>
      <c r="V117" s="19">
        <f t="shared" si="20"/>
        <v>5.4423244191520873E-3</v>
      </c>
      <c r="W117" s="2"/>
      <c r="X117" s="2">
        <f t="shared" si="21"/>
        <v>-28746.22</v>
      </c>
      <c r="Y117" s="2"/>
      <c r="Z117" s="19">
        <f t="shared" si="22"/>
        <v>-1</v>
      </c>
    </row>
    <row r="118" spans="1:26" s="24" customFormat="1" hidden="1" outlineLevel="1" x14ac:dyDescent="0.3">
      <c r="A118" s="44"/>
      <c r="B118" s="11" t="str">
        <f>CONCATENATE("          ", "5086", " - ", "PURCHASES @ COST-COMPUTER SUPP")</f>
        <v xml:space="preserve">          5086 - PURCHASES @ COST-COMPUTER SUPP</v>
      </c>
      <c r="C118" s="11"/>
      <c r="D118" s="2"/>
      <c r="E118" s="2"/>
      <c r="F118" s="19">
        <f t="shared" si="15"/>
        <v>0</v>
      </c>
      <c r="G118" s="2"/>
      <c r="H118" s="2">
        <v>21.24</v>
      </c>
      <c r="I118" s="2"/>
      <c r="J118" s="19">
        <f t="shared" si="16"/>
        <v>1.6238339186704154E-5</v>
      </c>
      <c r="K118" s="2"/>
      <c r="L118" s="2">
        <f t="shared" si="17"/>
        <v>-21.24</v>
      </c>
      <c r="M118" s="2"/>
      <c r="N118" s="19">
        <f t="shared" si="18"/>
        <v>-1</v>
      </c>
      <c r="O118" s="11"/>
      <c r="P118" s="2">
        <v>0</v>
      </c>
      <c r="Q118" s="2"/>
      <c r="R118" s="19">
        <f t="shared" si="19"/>
        <v>0</v>
      </c>
      <c r="S118" s="2"/>
      <c r="T118" s="2">
        <v>22739.85</v>
      </c>
      <c r="U118" s="2"/>
      <c r="V118" s="19">
        <f t="shared" si="20"/>
        <v>4.3051796355435797E-3</v>
      </c>
      <c r="W118" s="2"/>
      <c r="X118" s="2">
        <f t="shared" si="21"/>
        <v>-22739.85</v>
      </c>
      <c r="Y118" s="2"/>
      <c r="Z118" s="19">
        <f t="shared" si="22"/>
        <v>-1</v>
      </c>
    </row>
    <row r="119" spans="1:26" s="24" customFormat="1" hidden="1" outlineLevel="1" x14ac:dyDescent="0.3">
      <c r="A119" s="44"/>
      <c r="B119" s="11" t="str">
        <f>CONCATENATE("          ", "5092", " - ", "PURCHASES @ COST-GRAD MERCH")</f>
        <v xml:space="preserve">          5092 - PURCHASES @ COST-GRAD MERCH</v>
      </c>
      <c r="C119" s="11"/>
      <c r="D119" s="2"/>
      <c r="E119" s="2"/>
      <c r="F119" s="19">
        <f t="shared" si="15"/>
        <v>0</v>
      </c>
      <c r="G119" s="2"/>
      <c r="H119" s="2"/>
      <c r="I119" s="2"/>
      <c r="J119" s="19">
        <f t="shared" si="16"/>
        <v>0</v>
      </c>
      <c r="K119" s="2"/>
      <c r="L119" s="2">
        <f t="shared" si="17"/>
        <v>0</v>
      </c>
      <c r="M119" s="2"/>
      <c r="N119" s="19">
        <f t="shared" si="18"/>
        <v>0</v>
      </c>
      <c r="O119" s="11"/>
      <c r="P119" s="2"/>
      <c r="Q119" s="2"/>
      <c r="R119" s="19">
        <f t="shared" si="19"/>
        <v>0</v>
      </c>
      <c r="S119" s="2"/>
      <c r="T119" s="2">
        <v>0</v>
      </c>
      <c r="U119" s="2"/>
      <c r="V119" s="19">
        <f t="shared" si="20"/>
        <v>0</v>
      </c>
      <c r="W119" s="2"/>
      <c r="X119" s="2">
        <f t="shared" si="21"/>
        <v>0</v>
      </c>
      <c r="Y119" s="2"/>
      <c r="Z119" s="19">
        <f t="shared" si="22"/>
        <v>0</v>
      </c>
    </row>
    <row r="120" spans="1:26" s="24" customFormat="1" hidden="1" outlineLevel="1" x14ac:dyDescent="0.3">
      <c r="A120" s="44"/>
      <c r="B120" s="11" t="str">
        <f>CONCATENATE("          ", "5200", " - ", "PURCHASES OFFSET")</f>
        <v xml:space="preserve">          5200 - PURCHASES OFFSET</v>
      </c>
      <c r="C120" s="11"/>
      <c r="D120" s="2">
        <v>-571503.94999999995</v>
      </c>
      <c r="E120" s="2"/>
      <c r="F120" s="19">
        <f t="shared" si="15"/>
        <v>-0.6271087483216452</v>
      </c>
      <c r="G120" s="2"/>
      <c r="H120" s="2">
        <v>-502374.21</v>
      </c>
      <c r="I120" s="2"/>
      <c r="J120" s="19">
        <f t="shared" si="16"/>
        <v>-0.3840735791258259</v>
      </c>
      <c r="K120" s="2"/>
      <c r="L120" s="2">
        <f t="shared" si="17"/>
        <v>-69129.739999999932</v>
      </c>
      <c r="M120" s="2"/>
      <c r="N120" s="19">
        <f t="shared" si="18"/>
        <v>0.13760606859177729</v>
      </c>
      <c r="O120" s="11"/>
      <c r="P120" s="2">
        <v>-3849781.86</v>
      </c>
      <c r="Q120" s="2"/>
      <c r="R120" s="19">
        <f t="shared" si="19"/>
        <v>-0.69501791666348922</v>
      </c>
      <c r="S120" s="2"/>
      <c r="T120" s="2">
        <v>-3379047.18</v>
      </c>
      <c r="U120" s="2"/>
      <c r="V120" s="19">
        <f t="shared" si="20"/>
        <v>-0.63973179712605688</v>
      </c>
      <c r="W120" s="2"/>
      <c r="X120" s="2">
        <f t="shared" si="21"/>
        <v>-470734.6799999997</v>
      </c>
      <c r="Y120" s="2"/>
      <c r="Z120" s="19">
        <f t="shared" si="22"/>
        <v>0.13930988675926084</v>
      </c>
    </row>
    <row r="121" spans="1:26" s="24" customFormat="1" hidden="1" outlineLevel="1" x14ac:dyDescent="0.3">
      <c r="A121" s="44"/>
      <c r="B121" s="11" t="str">
        <f>CONCATENATE("          ", "5300", " - ", "COG$ OFFSET")</f>
        <v xml:space="preserve">          5300 - COG$ OFFSET</v>
      </c>
      <c r="C121" s="11"/>
      <c r="D121" s="2">
        <v>553059.96</v>
      </c>
      <c r="E121" s="2"/>
      <c r="F121" s="19">
        <f t="shared" si="15"/>
        <v>0.6068702399387077</v>
      </c>
      <c r="G121" s="2"/>
      <c r="H121" s="2">
        <v>695026</v>
      </c>
      <c r="I121" s="2"/>
      <c r="J121" s="19">
        <f t="shared" si="16"/>
        <v>0.53135913048861783</v>
      </c>
      <c r="K121" s="2"/>
      <c r="L121" s="2">
        <f t="shared" si="17"/>
        <v>-141966.04000000004</v>
      </c>
      <c r="M121" s="2"/>
      <c r="N121" s="19">
        <f t="shared" si="18"/>
        <v>-0.20426004207036863</v>
      </c>
      <c r="O121" s="11"/>
      <c r="P121" s="2">
        <v>3423132.83</v>
      </c>
      <c r="Q121" s="2"/>
      <c r="R121" s="19">
        <f t="shared" si="19"/>
        <v>0.61799310571040889</v>
      </c>
      <c r="S121" s="2"/>
      <c r="T121" s="2">
        <v>3298180</v>
      </c>
      <c r="U121" s="2"/>
      <c r="V121" s="19">
        <f t="shared" si="20"/>
        <v>0.62442176928858928</v>
      </c>
      <c r="W121" s="2"/>
      <c r="X121" s="2">
        <f t="shared" si="21"/>
        <v>124952.83000000007</v>
      </c>
      <c r="Y121" s="2"/>
      <c r="Z121" s="19">
        <f t="shared" si="22"/>
        <v>3.7885388305065243E-2</v>
      </c>
    </row>
    <row r="122" spans="1:26" s="24" customFormat="1" hidden="1" outlineLevel="1" x14ac:dyDescent="0.3">
      <c r="A122" s="44"/>
      <c r="B122" s="11" t="str">
        <f>CONCATENATE("          ", "5500", " - ", "FREIGHT-IN")</f>
        <v xml:space="preserve">          5500 - FREIGHT-IN</v>
      </c>
      <c r="C122" s="11"/>
      <c r="D122" s="2">
        <v>21927.71</v>
      </c>
      <c r="E122" s="2"/>
      <c r="F122" s="19">
        <f t="shared" si="15"/>
        <v>2.4061178880146014E-2</v>
      </c>
      <c r="G122" s="2"/>
      <c r="H122" s="2">
        <v>0</v>
      </c>
      <c r="I122" s="2"/>
      <c r="J122" s="19">
        <f t="shared" si="16"/>
        <v>0</v>
      </c>
      <c r="K122" s="2"/>
      <c r="L122" s="2">
        <f t="shared" si="17"/>
        <v>21927.71</v>
      </c>
      <c r="M122" s="2"/>
      <c r="N122" s="19">
        <f t="shared" si="18"/>
        <v>0</v>
      </c>
      <c r="O122" s="11"/>
      <c r="P122" s="2">
        <v>92254.2</v>
      </c>
      <c r="Q122" s="2"/>
      <c r="R122" s="19">
        <f t="shared" si="19"/>
        <v>1.6655053252148909E-2</v>
      </c>
      <c r="S122" s="2"/>
      <c r="T122" s="2">
        <v>0</v>
      </c>
      <c r="U122" s="2"/>
      <c r="V122" s="19">
        <f t="shared" si="20"/>
        <v>0</v>
      </c>
      <c r="W122" s="2"/>
      <c r="X122" s="2">
        <f t="shared" si="21"/>
        <v>92254.2</v>
      </c>
      <c r="Y122" s="2"/>
      <c r="Z122" s="19">
        <f t="shared" si="22"/>
        <v>0</v>
      </c>
    </row>
    <row r="123" spans="1:26" s="24" customFormat="1" hidden="1" outlineLevel="1" x14ac:dyDescent="0.3">
      <c r="A123" s="44"/>
      <c r="B123" s="11" t="str">
        <f>CONCATENATE("          ", "5501", " - ", "FREIGHT-IN-NEW TEXT")</f>
        <v xml:space="preserve">          5501 - FREIGHT-IN-NEW TEXT</v>
      </c>
      <c r="C123" s="11"/>
      <c r="D123" s="2"/>
      <c r="E123" s="2"/>
      <c r="F123" s="19">
        <f t="shared" si="15"/>
        <v>0</v>
      </c>
      <c r="G123" s="2"/>
      <c r="H123" s="2">
        <v>7155.21</v>
      </c>
      <c r="I123" s="2"/>
      <c r="J123" s="19">
        <f t="shared" si="16"/>
        <v>5.4702790457672994E-3</v>
      </c>
      <c r="K123" s="2"/>
      <c r="L123" s="2">
        <f t="shared" si="17"/>
        <v>-7155.21</v>
      </c>
      <c r="M123" s="2"/>
      <c r="N123" s="19">
        <f t="shared" si="18"/>
        <v>-1</v>
      </c>
      <c r="O123" s="11"/>
      <c r="P123" s="2">
        <v>0</v>
      </c>
      <c r="Q123" s="2"/>
      <c r="R123" s="19">
        <f t="shared" si="19"/>
        <v>0</v>
      </c>
      <c r="S123" s="2"/>
      <c r="T123" s="2">
        <v>44618.79</v>
      </c>
      <c r="U123" s="2"/>
      <c r="V123" s="19">
        <f t="shared" si="20"/>
        <v>8.4473690930501107E-3</v>
      </c>
      <c r="W123" s="2"/>
      <c r="X123" s="2">
        <f t="shared" si="21"/>
        <v>-44618.79</v>
      </c>
      <c r="Y123" s="2"/>
      <c r="Z123" s="19">
        <f t="shared" si="22"/>
        <v>-1</v>
      </c>
    </row>
    <row r="124" spans="1:26" s="24" customFormat="1" hidden="1" outlineLevel="1" x14ac:dyDescent="0.3">
      <c r="A124" s="44"/>
      <c r="B124" s="11" t="str">
        <f>CONCATENATE("          ", "5502", " - ", "FREIGHT-IN-USED TEXT")</f>
        <v xml:space="preserve">          5502 - FREIGHT-IN-USED TEXT</v>
      </c>
      <c r="C124" s="11"/>
      <c r="D124" s="2"/>
      <c r="E124" s="2"/>
      <c r="F124" s="19">
        <f t="shared" si="15"/>
        <v>0</v>
      </c>
      <c r="G124" s="2"/>
      <c r="H124" s="2">
        <v>2129.7399999999998</v>
      </c>
      <c r="I124" s="2"/>
      <c r="J124" s="19">
        <f t="shared" si="16"/>
        <v>1.6282222457387619E-3</v>
      </c>
      <c r="K124" s="2"/>
      <c r="L124" s="2">
        <f t="shared" si="17"/>
        <v>-2129.7399999999998</v>
      </c>
      <c r="M124" s="2"/>
      <c r="N124" s="19">
        <f t="shared" si="18"/>
        <v>-1</v>
      </c>
      <c r="O124" s="11"/>
      <c r="P124" s="2">
        <v>0</v>
      </c>
      <c r="Q124" s="2"/>
      <c r="R124" s="19">
        <f t="shared" si="19"/>
        <v>0</v>
      </c>
      <c r="S124" s="2"/>
      <c r="T124" s="2">
        <v>15652.31</v>
      </c>
      <c r="U124" s="2"/>
      <c r="V124" s="19">
        <f t="shared" si="20"/>
        <v>2.9633443607242414E-3</v>
      </c>
      <c r="W124" s="2"/>
      <c r="X124" s="2">
        <f t="shared" si="21"/>
        <v>-15652.31</v>
      </c>
      <c r="Y124" s="2"/>
      <c r="Z124" s="19">
        <f t="shared" si="22"/>
        <v>-1</v>
      </c>
    </row>
    <row r="125" spans="1:26" s="24" customFormat="1" hidden="1" outlineLevel="1" x14ac:dyDescent="0.3">
      <c r="A125" s="44"/>
      <c r="B125" s="11" t="str">
        <f>CONCATENATE("          ", "5504", " - ", "FREIGHT-IN-DIGITAL TEXT")</f>
        <v xml:space="preserve">          5504 - FREIGHT-IN-DIGITAL TEXT</v>
      </c>
      <c r="C125" s="11"/>
      <c r="D125" s="2"/>
      <c r="E125" s="2"/>
      <c r="F125" s="19">
        <f t="shared" si="15"/>
        <v>0</v>
      </c>
      <c r="G125" s="2"/>
      <c r="H125" s="2"/>
      <c r="I125" s="2"/>
      <c r="J125" s="19">
        <f t="shared" si="16"/>
        <v>0</v>
      </c>
      <c r="K125" s="2"/>
      <c r="L125" s="2">
        <f t="shared" si="17"/>
        <v>0</v>
      </c>
      <c r="M125" s="2"/>
      <c r="N125" s="19">
        <f t="shared" si="18"/>
        <v>0</v>
      </c>
      <c r="O125" s="11"/>
      <c r="P125" s="2"/>
      <c r="Q125" s="2"/>
      <c r="R125" s="19">
        <f t="shared" si="19"/>
        <v>0</v>
      </c>
      <c r="S125" s="2"/>
      <c r="T125" s="2">
        <v>21.98</v>
      </c>
      <c r="U125" s="2"/>
      <c r="V125" s="19">
        <f t="shared" si="20"/>
        <v>4.1613224532812618E-6</v>
      </c>
      <c r="W125" s="2"/>
      <c r="X125" s="2">
        <f t="shared" si="21"/>
        <v>-21.98</v>
      </c>
      <c r="Y125" s="2"/>
      <c r="Z125" s="19">
        <f t="shared" si="22"/>
        <v>-1</v>
      </c>
    </row>
    <row r="126" spans="1:26" s="24" customFormat="1" hidden="1" outlineLevel="1" x14ac:dyDescent="0.3">
      <c r="A126" s="44"/>
      <c r="B126" s="11" t="str">
        <f>CONCATENATE("          ", "5513", " - ", "FREIGHT-IN-TRADE BOOKS")</f>
        <v xml:space="preserve">          5513 - FREIGHT-IN-TRADE BOOKS</v>
      </c>
      <c r="C126" s="11"/>
      <c r="D126" s="2"/>
      <c r="E126" s="2"/>
      <c r="F126" s="19">
        <f t="shared" si="15"/>
        <v>0</v>
      </c>
      <c r="G126" s="2"/>
      <c r="H126" s="2">
        <v>7.06</v>
      </c>
      <c r="I126" s="2"/>
      <c r="J126" s="19">
        <f t="shared" si="16"/>
        <v>5.3974893906841488E-6</v>
      </c>
      <c r="K126" s="2"/>
      <c r="L126" s="2">
        <f t="shared" si="17"/>
        <v>-7.06</v>
      </c>
      <c r="M126" s="2"/>
      <c r="N126" s="19">
        <f t="shared" si="18"/>
        <v>-1</v>
      </c>
      <c r="O126" s="11"/>
      <c r="P126" s="2"/>
      <c r="Q126" s="2"/>
      <c r="R126" s="19">
        <f t="shared" si="19"/>
        <v>0</v>
      </c>
      <c r="S126" s="2"/>
      <c r="T126" s="2">
        <v>33.520000000000003</v>
      </c>
      <c r="U126" s="2"/>
      <c r="V126" s="19">
        <f t="shared" si="20"/>
        <v>6.3461114028201962E-6</v>
      </c>
      <c r="W126" s="2"/>
      <c r="X126" s="2">
        <f t="shared" si="21"/>
        <v>-33.520000000000003</v>
      </c>
      <c r="Y126" s="2"/>
      <c r="Z126" s="19">
        <f t="shared" si="22"/>
        <v>-1</v>
      </c>
    </row>
    <row r="127" spans="1:26" s="24" customFormat="1" hidden="1" outlineLevel="1" x14ac:dyDescent="0.3">
      <c r="A127" s="44"/>
      <c r="B127" s="11" t="str">
        <f>CONCATENATE("          ", "5518", " - ", "FREIGHT-IN-STUDY GUIDES")</f>
        <v xml:space="preserve">          5518 - FREIGHT-IN-STUDY GUIDES</v>
      </c>
      <c r="C127" s="11"/>
      <c r="D127" s="2"/>
      <c r="E127" s="2"/>
      <c r="F127" s="19">
        <f t="shared" si="15"/>
        <v>0</v>
      </c>
      <c r="G127" s="2"/>
      <c r="H127" s="2"/>
      <c r="I127" s="2"/>
      <c r="J127" s="19">
        <f t="shared" si="16"/>
        <v>0</v>
      </c>
      <c r="K127" s="2"/>
      <c r="L127" s="2">
        <f t="shared" si="17"/>
        <v>0</v>
      </c>
      <c r="M127" s="2"/>
      <c r="N127" s="19">
        <f t="shared" si="18"/>
        <v>0</v>
      </c>
      <c r="O127" s="11"/>
      <c r="P127" s="2">
        <v>0</v>
      </c>
      <c r="Q127" s="2"/>
      <c r="R127" s="19">
        <f t="shared" si="19"/>
        <v>0</v>
      </c>
      <c r="S127" s="2"/>
      <c r="T127" s="2"/>
      <c r="U127" s="2"/>
      <c r="V127" s="19">
        <f t="shared" si="20"/>
        <v>0</v>
      </c>
      <c r="W127" s="2"/>
      <c r="X127" s="2">
        <f t="shared" si="21"/>
        <v>0</v>
      </c>
      <c r="Y127" s="2"/>
      <c r="Z127" s="19">
        <f t="shared" si="22"/>
        <v>0</v>
      </c>
    </row>
    <row r="128" spans="1:26" s="24" customFormat="1" hidden="1" outlineLevel="1" x14ac:dyDescent="0.3">
      <c r="A128" s="44"/>
      <c r="B128" s="11" t="str">
        <f>CONCATENATE("          ", "5525", " - ", "FREIGHT-IN-TEST FORMS")</f>
        <v xml:space="preserve">          5525 - FREIGHT-IN-TEST FORMS</v>
      </c>
      <c r="C128" s="11"/>
      <c r="D128" s="2"/>
      <c r="E128" s="2"/>
      <c r="F128" s="19">
        <f t="shared" si="15"/>
        <v>0</v>
      </c>
      <c r="G128" s="2"/>
      <c r="H128" s="2"/>
      <c r="I128" s="2"/>
      <c r="J128" s="19">
        <f t="shared" si="16"/>
        <v>0</v>
      </c>
      <c r="K128" s="2"/>
      <c r="L128" s="2">
        <f t="shared" si="17"/>
        <v>0</v>
      </c>
      <c r="M128" s="2"/>
      <c r="N128" s="19">
        <f t="shared" si="18"/>
        <v>0</v>
      </c>
      <c r="O128" s="11"/>
      <c r="P128" s="2"/>
      <c r="Q128" s="2"/>
      <c r="R128" s="19">
        <f t="shared" si="19"/>
        <v>0</v>
      </c>
      <c r="S128" s="2"/>
      <c r="T128" s="2">
        <v>48.14</v>
      </c>
      <c r="U128" s="2"/>
      <c r="V128" s="19">
        <f t="shared" si="20"/>
        <v>9.1140156005896249E-6</v>
      </c>
      <c r="W128" s="2"/>
      <c r="X128" s="2">
        <f t="shared" si="21"/>
        <v>-48.14</v>
      </c>
      <c r="Y128" s="2"/>
      <c r="Z128" s="19">
        <f t="shared" si="22"/>
        <v>-1</v>
      </c>
    </row>
    <row r="129" spans="1:26" s="24" customFormat="1" hidden="1" outlineLevel="1" x14ac:dyDescent="0.3">
      <c r="A129" s="44"/>
      <c r="B129" s="11" t="str">
        <f>CONCATENATE("          ", "5526", " - ", "FREIGHT-IN-WRITING INSTRUMENTS")</f>
        <v xml:space="preserve">          5526 - FREIGHT-IN-WRITING INSTRUMENTS</v>
      </c>
      <c r="C129" s="11"/>
      <c r="D129" s="2"/>
      <c r="E129" s="2"/>
      <c r="F129" s="19">
        <f t="shared" si="15"/>
        <v>0</v>
      </c>
      <c r="G129" s="2"/>
      <c r="H129" s="2"/>
      <c r="I129" s="2"/>
      <c r="J129" s="19">
        <f t="shared" si="16"/>
        <v>0</v>
      </c>
      <c r="K129" s="2"/>
      <c r="L129" s="2">
        <f t="shared" si="17"/>
        <v>0</v>
      </c>
      <c r="M129" s="2"/>
      <c r="N129" s="19">
        <f t="shared" si="18"/>
        <v>0</v>
      </c>
      <c r="O129" s="11"/>
      <c r="P129" s="2"/>
      <c r="Q129" s="2"/>
      <c r="R129" s="19">
        <f t="shared" si="19"/>
        <v>0</v>
      </c>
      <c r="S129" s="2"/>
      <c r="T129" s="2">
        <v>0</v>
      </c>
      <c r="U129" s="2"/>
      <c r="V129" s="19">
        <f t="shared" si="20"/>
        <v>0</v>
      </c>
      <c r="W129" s="2"/>
      <c r="X129" s="2">
        <f t="shared" si="21"/>
        <v>0</v>
      </c>
      <c r="Y129" s="2"/>
      <c r="Z129" s="19">
        <f t="shared" si="22"/>
        <v>0</v>
      </c>
    </row>
    <row r="130" spans="1:26" s="24" customFormat="1" hidden="1" outlineLevel="1" x14ac:dyDescent="0.3">
      <c r="A130" s="44"/>
      <c r="B130" s="11" t="str">
        <f>CONCATENATE("          ", "5527", " - ", "FREIGHT-IN-SCHOOL SUPPLIES")</f>
        <v xml:space="preserve">          5527 - FREIGHT-IN-SCHOOL SUPPLIES</v>
      </c>
      <c r="C130" s="11"/>
      <c r="D130" s="2"/>
      <c r="E130" s="2"/>
      <c r="F130" s="19">
        <f t="shared" si="15"/>
        <v>0</v>
      </c>
      <c r="G130" s="2"/>
      <c r="H130" s="2"/>
      <c r="I130" s="2"/>
      <c r="J130" s="19">
        <f t="shared" si="16"/>
        <v>0</v>
      </c>
      <c r="K130" s="2"/>
      <c r="L130" s="2">
        <f t="shared" si="17"/>
        <v>0</v>
      </c>
      <c r="M130" s="2"/>
      <c r="N130" s="19">
        <f t="shared" si="18"/>
        <v>0</v>
      </c>
      <c r="O130" s="11"/>
      <c r="P130" s="2">
        <v>0</v>
      </c>
      <c r="Q130" s="2"/>
      <c r="R130" s="19">
        <f t="shared" si="19"/>
        <v>0</v>
      </c>
      <c r="S130" s="2"/>
      <c r="T130" s="2">
        <v>177.5</v>
      </c>
      <c r="U130" s="2"/>
      <c r="V130" s="19">
        <f t="shared" si="20"/>
        <v>3.3604856026270422E-5</v>
      </c>
      <c r="W130" s="2"/>
      <c r="X130" s="2">
        <f t="shared" si="21"/>
        <v>-177.5</v>
      </c>
      <c r="Y130" s="2"/>
      <c r="Z130" s="19">
        <f t="shared" si="22"/>
        <v>-1</v>
      </c>
    </row>
    <row r="131" spans="1:26" s="24" customFormat="1" hidden="1" outlineLevel="1" x14ac:dyDescent="0.3">
      <c r="A131" s="44"/>
      <c r="B131" s="11" t="str">
        <f>CONCATENATE("          ", "5528", " - ", "FREIGHT-IN-ART/TECH")</f>
        <v xml:space="preserve">          5528 - FREIGHT-IN-ART/TECH</v>
      </c>
      <c r="C131" s="11"/>
      <c r="D131" s="2"/>
      <c r="E131" s="2"/>
      <c r="F131" s="19">
        <f t="shared" si="15"/>
        <v>0</v>
      </c>
      <c r="G131" s="2"/>
      <c r="H131" s="2">
        <v>48.53</v>
      </c>
      <c r="I131" s="2"/>
      <c r="J131" s="19">
        <f t="shared" si="16"/>
        <v>3.7102005684122062E-5</v>
      </c>
      <c r="K131" s="2"/>
      <c r="L131" s="2">
        <f t="shared" si="17"/>
        <v>-48.53</v>
      </c>
      <c r="M131" s="2"/>
      <c r="N131" s="19">
        <f t="shared" si="18"/>
        <v>-1</v>
      </c>
      <c r="O131" s="11"/>
      <c r="P131" s="2">
        <v>0</v>
      </c>
      <c r="Q131" s="2"/>
      <c r="R131" s="19">
        <f t="shared" si="19"/>
        <v>0</v>
      </c>
      <c r="S131" s="2"/>
      <c r="T131" s="2">
        <v>338.74</v>
      </c>
      <c r="U131" s="2"/>
      <c r="V131" s="19">
        <f t="shared" si="20"/>
        <v>6.4131317917401944E-5</v>
      </c>
      <c r="W131" s="2"/>
      <c r="X131" s="2">
        <f t="shared" si="21"/>
        <v>-338.74</v>
      </c>
      <c r="Y131" s="2"/>
      <c r="Z131" s="19">
        <f t="shared" si="22"/>
        <v>-1</v>
      </c>
    </row>
    <row r="132" spans="1:26" s="24" customFormat="1" hidden="1" outlineLevel="1" x14ac:dyDescent="0.3">
      <c r="A132" s="44"/>
      <c r="B132" s="11" t="str">
        <f>CONCATENATE("          ", "5540", " - ", "FREIGHT-IN-LOGO CLOTHING")</f>
        <v xml:space="preserve">          5540 - FREIGHT-IN-LOGO CLOTHING</v>
      </c>
      <c r="C132" s="11"/>
      <c r="D132" s="2"/>
      <c r="E132" s="2"/>
      <c r="F132" s="19">
        <f t="shared" si="15"/>
        <v>0</v>
      </c>
      <c r="G132" s="2"/>
      <c r="H132" s="2">
        <v>347.67</v>
      </c>
      <c r="I132" s="2"/>
      <c r="J132" s="19">
        <f t="shared" si="16"/>
        <v>2.6579959439931421E-4</v>
      </c>
      <c r="K132" s="2"/>
      <c r="L132" s="2">
        <f t="shared" si="17"/>
        <v>-347.67</v>
      </c>
      <c r="M132" s="2"/>
      <c r="N132" s="19">
        <f t="shared" si="18"/>
        <v>-1</v>
      </c>
      <c r="O132" s="11"/>
      <c r="P132" s="2">
        <v>0</v>
      </c>
      <c r="Q132" s="2"/>
      <c r="R132" s="19">
        <f t="shared" si="19"/>
        <v>0</v>
      </c>
      <c r="S132" s="2"/>
      <c r="T132" s="2">
        <v>5790.63</v>
      </c>
      <c r="U132" s="2"/>
      <c r="V132" s="19">
        <f t="shared" si="20"/>
        <v>1.0963002109938159E-3</v>
      </c>
      <c r="W132" s="2"/>
      <c r="X132" s="2">
        <f t="shared" si="21"/>
        <v>-5790.63</v>
      </c>
      <c r="Y132" s="2"/>
      <c r="Z132" s="19">
        <f t="shared" si="22"/>
        <v>-1</v>
      </c>
    </row>
    <row r="133" spans="1:26" s="24" customFormat="1" hidden="1" outlineLevel="1" x14ac:dyDescent="0.3">
      <c r="A133" s="44"/>
      <c r="B133" s="11" t="str">
        <f>CONCATENATE("          ", "5541", " - ", "FREIGHT-IN-LOGO GIFTS")</f>
        <v xml:space="preserve">          5541 - FREIGHT-IN-LOGO GIFTS</v>
      </c>
      <c r="C133" s="11"/>
      <c r="D133" s="2"/>
      <c r="E133" s="2"/>
      <c r="F133" s="19">
        <f t="shared" si="15"/>
        <v>0</v>
      </c>
      <c r="G133" s="2"/>
      <c r="H133" s="2">
        <v>182.93</v>
      </c>
      <c r="I133" s="2"/>
      <c r="J133" s="19">
        <f t="shared" si="16"/>
        <v>1.3985307850394497E-4</v>
      </c>
      <c r="K133" s="2"/>
      <c r="L133" s="2">
        <f t="shared" si="17"/>
        <v>-182.93</v>
      </c>
      <c r="M133" s="2"/>
      <c r="N133" s="19">
        <f t="shared" si="18"/>
        <v>-1</v>
      </c>
      <c r="O133" s="11"/>
      <c r="P133" s="2">
        <v>0</v>
      </c>
      <c r="Q133" s="2"/>
      <c r="R133" s="19">
        <f t="shared" si="19"/>
        <v>0</v>
      </c>
      <c r="S133" s="2"/>
      <c r="T133" s="2">
        <v>1702.87</v>
      </c>
      <c r="U133" s="2"/>
      <c r="V133" s="19">
        <f t="shared" si="20"/>
        <v>3.2239268271242317E-4</v>
      </c>
      <c r="W133" s="2"/>
      <c r="X133" s="2">
        <f t="shared" si="21"/>
        <v>-1702.87</v>
      </c>
      <c r="Y133" s="2"/>
      <c r="Z133" s="19">
        <f t="shared" si="22"/>
        <v>-1</v>
      </c>
    </row>
    <row r="134" spans="1:26" s="24" customFormat="1" hidden="1" outlineLevel="1" x14ac:dyDescent="0.3">
      <c r="A134" s="44"/>
      <c r="B134" s="11" t="str">
        <f>CONCATENATE("          ", "5542", " - ", "FREIGHT-IN-EVERYDAY GIFTS")</f>
        <v xml:space="preserve">          5542 - FREIGHT-IN-EVERYDAY GIFTS</v>
      </c>
      <c r="C134" s="11"/>
      <c r="D134" s="2"/>
      <c r="E134" s="2"/>
      <c r="F134" s="19">
        <f t="shared" si="15"/>
        <v>0</v>
      </c>
      <c r="G134" s="2"/>
      <c r="H134" s="2">
        <v>187.38</v>
      </c>
      <c r="I134" s="2"/>
      <c r="J134" s="19">
        <f t="shared" si="16"/>
        <v>1.4325517875727988E-4</v>
      </c>
      <c r="K134" s="2"/>
      <c r="L134" s="2">
        <f t="shared" si="17"/>
        <v>-187.38</v>
      </c>
      <c r="M134" s="2"/>
      <c r="N134" s="19">
        <f t="shared" si="18"/>
        <v>-1</v>
      </c>
      <c r="O134" s="11"/>
      <c r="P134" s="2">
        <v>0</v>
      </c>
      <c r="Q134" s="2"/>
      <c r="R134" s="19">
        <f t="shared" si="19"/>
        <v>0</v>
      </c>
      <c r="S134" s="2"/>
      <c r="T134" s="2">
        <v>383.93</v>
      </c>
      <c r="U134" s="2"/>
      <c r="V134" s="19">
        <f t="shared" si="20"/>
        <v>7.268683027699157E-5</v>
      </c>
      <c r="W134" s="2"/>
      <c r="X134" s="2">
        <f t="shared" si="21"/>
        <v>-383.93</v>
      </c>
      <c r="Y134" s="2"/>
      <c r="Z134" s="19">
        <f t="shared" si="22"/>
        <v>-1</v>
      </c>
    </row>
    <row r="135" spans="1:26" s="24" customFormat="1" hidden="1" outlineLevel="1" x14ac:dyDescent="0.3">
      <c r="A135" s="44"/>
      <c r="B135" s="11" t="str">
        <f>CONCATENATE("          ", "5543", " - ", "FREIGHT-IN-CARDS")</f>
        <v xml:space="preserve">          5543 - FREIGHT-IN-CARDS</v>
      </c>
      <c r="C135" s="11"/>
      <c r="D135" s="2"/>
      <c r="E135" s="2"/>
      <c r="F135" s="19">
        <f t="shared" si="15"/>
        <v>0</v>
      </c>
      <c r="G135" s="2"/>
      <c r="H135" s="2">
        <v>1992.81</v>
      </c>
      <c r="I135" s="2"/>
      <c r="J135" s="19">
        <f t="shared" si="16"/>
        <v>1.5235369451344588E-3</v>
      </c>
      <c r="K135" s="2"/>
      <c r="L135" s="2">
        <f t="shared" si="17"/>
        <v>-1992.81</v>
      </c>
      <c r="M135" s="2"/>
      <c r="N135" s="19">
        <f t="shared" si="18"/>
        <v>-1</v>
      </c>
      <c r="O135" s="11"/>
      <c r="P135" s="2"/>
      <c r="Q135" s="2"/>
      <c r="R135" s="19">
        <f t="shared" si="19"/>
        <v>0</v>
      </c>
      <c r="S135" s="2"/>
      <c r="T135" s="2">
        <v>9110.5300000000007</v>
      </c>
      <c r="U135" s="2"/>
      <c r="V135" s="19">
        <f t="shared" si="20"/>
        <v>1.7248340787212255E-3</v>
      </c>
      <c r="W135" s="2"/>
      <c r="X135" s="2">
        <f t="shared" si="21"/>
        <v>-9110.5300000000007</v>
      </c>
      <c r="Y135" s="2"/>
      <c r="Z135" s="19">
        <f t="shared" si="22"/>
        <v>-1</v>
      </c>
    </row>
    <row r="136" spans="1:26" s="24" customFormat="1" hidden="1" outlineLevel="1" x14ac:dyDescent="0.3">
      <c r="A136" s="44"/>
      <c r="B136" s="11" t="str">
        <f>CONCATENATE("          ", "5544", " - ", "FREIGHT-IN-ACCESSORIES")</f>
        <v xml:space="preserve">          5544 - FREIGHT-IN-ACCESSORIES</v>
      </c>
      <c r="C136" s="11"/>
      <c r="D136" s="2"/>
      <c r="E136" s="2"/>
      <c r="F136" s="19">
        <f t="shared" si="15"/>
        <v>0</v>
      </c>
      <c r="G136" s="2"/>
      <c r="H136" s="2"/>
      <c r="I136" s="2"/>
      <c r="J136" s="19">
        <f t="shared" si="16"/>
        <v>0</v>
      </c>
      <c r="K136" s="2"/>
      <c r="L136" s="2">
        <f t="shared" si="17"/>
        <v>0</v>
      </c>
      <c r="M136" s="2"/>
      <c r="N136" s="19">
        <f t="shared" si="18"/>
        <v>0</v>
      </c>
      <c r="O136" s="11"/>
      <c r="P136" s="2">
        <v>0</v>
      </c>
      <c r="Q136" s="2"/>
      <c r="R136" s="19">
        <f t="shared" si="19"/>
        <v>0</v>
      </c>
      <c r="S136" s="2"/>
      <c r="T136" s="2"/>
      <c r="U136" s="2"/>
      <c r="V136" s="19">
        <f t="shared" si="20"/>
        <v>0</v>
      </c>
      <c r="W136" s="2"/>
      <c r="X136" s="2">
        <f t="shared" si="21"/>
        <v>0</v>
      </c>
      <c r="Y136" s="2"/>
      <c r="Z136" s="19">
        <f t="shared" si="22"/>
        <v>0</v>
      </c>
    </row>
    <row r="137" spans="1:26" s="24" customFormat="1" hidden="1" outlineLevel="1" x14ac:dyDescent="0.3">
      <c r="A137" s="44"/>
      <c r="B137" s="11" t="str">
        <f>CONCATENATE("          ", "5545", " - ", "FREIGHT-IN-SPECIAL ORDERS")</f>
        <v xml:space="preserve">          5545 - FREIGHT-IN-SPECIAL ORDERS</v>
      </c>
      <c r="C137" s="11"/>
      <c r="D137" s="2"/>
      <c r="E137" s="2"/>
      <c r="F137" s="19">
        <f t="shared" si="15"/>
        <v>0</v>
      </c>
      <c r="G137" s="2"/>
      <c r="H137" s="2"/>
      <c r="I137" s="2"/>
      <c r="J137" s="19">
        <f t="shared" si="16"/>
        <v>0</v>
      </c>
      <c r="K137" s="2"/>
      <c r="L137" s="2">
        <f t="shared" si="17"/>
        <v>0</v>
      </c>
      <c r="M137" s="2"/>
      <c r="N137" s="19">
        <f t="shared" si="18"/>
        <v>0</v>
      </c>
      <c r="O137" s="11"/>
      <c r="P137" s="2">
        <v>0</v>
      </c>
      <c r="Q137" s="2"/>
      <c r="R137" s="19">
        <f t="shared" si="19"/>
        <v>0</v>
      </c>
      <c r="S137" s="2"/>
      <c r="T137" s="2">
        <v>1113.79</v>
      </c>
      <c r="U137" s="2"/>
      <c r="V137" s="19">
        <f t="shared" si="20"/>
        <v>2.1086621179436472E-4</v>
      </c>
      <c r="W137" s="2"/>
      <c r="X137" s="2">
        <f t="shared" si="21"/>
        <v>-1113.79</v>
      </c>
      <c r="Y137" s="2"/>
      <c r="Z137" s="19">
        <f t="shared" si="22"/>
        <v>-1</v>
      </c>
    </row>
    <row r="138" spans="1:26" s="24" customFormat="1" hidden="1" outlineLevel="1" x14ac:dyDescent="0.3">
      <c r="A138" s="44"/>
      <c r="B138" s="11" t="str">
        <f>CONCATENATE("          ", "5581", " - ", "FREIGHT-IN-ELECTRONICS")</f>
        <v xml:space="preserve">          5581 - FREIGHT-IN-ELECTRONICS</v>
      </c>
      <c r="C138" s="11"/>
      <c r="D138" s="2"/>
      <c r="E138" s="2"/>
      <c r="F138" s="19">
        <f t="shared" si="15"/>
        <v>0</v>
      </c>
      <c r="G138" s="2"/>
      <c r="H138" s="2"/>
      <c r="I138" s="2"/>
      <c r="J138" s="19">
        <f t="shared" si="16"/>
        <v>0</v>
      </c>
      <c r="K138" s="2"/>
      <c r="L138" s="2">
        <f t="shared" si="17"/>
        <v>0</v>
      </c>
      <c r="M138" s="2"/>
      <c r="N138" s="19">
        <f t="shared" si="18"/>
        <v>0</v>
      </c>
      <c r="O138" s="11"/>
      <c r="P138" s="2"/>
      <c r="Q138" s="2"/>
      <c r="R138" s="19">
        <f t="shared" si="19"/>
        <v>0</v>
      </c>
      <c r="S138" s="2"/>
      <c r="T138" s="2">
        <v>31</v>
      </c>
      <c r="U138" s="2"/>
      <c r="V138" s="19">
        <f t="shared" si="20"/>
        <v>5.8690171088134259E-6</v>
      </c>
      <c r="W138" s="2"/>
      <c r="X138" s="2">
        <f t="shared" si="21"/>
        <v>-31</v>
      </c>
      <c r="Y138" s="2"/>
      <c r="Z138" s="19">
        <f t="shared" si="22"/>
        <v>-1</v>
      </c>
    </row>
    <row r="139" spans="1:26" s="24" customFormat="1" hidden="1" outlineLevel="1" x14ac:dyDescent="0.3">
      <c r="A139" s="44"/>
      <c r="B139" s="11" t="str">
        <f>CONCATENATE("          ", "5582", " - ", "FREIGHT-IN-COMPUTER HARDWARE")</f>
        <v xml:space="preserve">          5582 - FREIGHT-IN-COMPUTER HARDWARE</v>
      </c>
      <c r="C139" s="11"/>
      <c r="D139" s="2"/>
      <c r="E139" s="2"/>
      <c r="F139" s="19">
        <f t="shared" si="15"/>
        <v>0</v>
      </c>
      <c r="G139" s="2"/>
      <c r="H139" s="2"/>
      <c r="I139" s="2"/>
      <c r="J139" s="19">
        <f t="shared" si="16"/>
        <v>0</v>
      </c>
      <c r="K139" s="2"/>
      <c r="L139" s="2">
        <f t="shared" si="17"/>
        <v>0</v>
      </c>
      <c r="M139" s="2"/>
      <c r="N139" s="19">
        <f t="shared" si="18"/>
        <v>0</v>
      </c>
      <c r="O139" s="11"/>
      <c r="P139" s="2"/>
      <c r="Q139" s="2"/>
      <c r="R139" s="19">
        <f t="shared" si="19"/>
        <v>0</v>
      </c>
      <c r="S139" s="2"/>
      <c r="T139" s="2">
        <v>94</v>
      </c>
      <c r="U139" s="2"/>
      <c r="V139" s="19">
        <f t="shared" si="20"/>
        <v>1.7796374458982648E-5</v>
      </c>
      <c r="W139" s="2"/>
      <c r="X139" s="2">
        <f t="shared" si="21"/>
        <v>-94</v>
      </c>
      <c r="Y139" s="2"/>
      <c r="Z139" s="19">
        <f t="shared" si="22"/>
        <v>-1</v>
      </c>
    </row>
    <row r="140" spans="1:26" s="24" customFormat="1" hidden="1" outlineLevel="1" x14ac:dyDescent="0.3">
      <c r="A140" s="44"/>
      <c r="B140" s="11" t="str">
        <f>CONCATENATE("          ", "5583", " - ", "FREIGHT-IN-COMPUTER EQUIPMENT")</f>
        <v xml:space="preserve">          5583 - FREIGHT-IN-COMPUTER EQUIPMENT</v>
      </c>
      <c r="C140" s="11"/>
      <c r="D140" s="2"/>
      <c r="E140" s="2"/>
      <c r="F140" s="19">
        <f t="shared" si="15"/>
        <v>0</v>
      </c>
      <c r="G140" s="2"/>
      <c r="H140" s="2">
        <v>10.06</v>
      </c>
      <c r="I140" s="2"/>
      <c r="J140" s="19">
        <f t="shared" si="16"/>
        <v>7.6910401232694815E-6</v>
      </c>
      <c r="K140" s="2"/>
      <c r="L140" s="2">
        <f t="shared" si="17"/>
        <v>-10.06</v>
      </c>
      <c r="M140" s="2"/>
      <c r="N140" s="19">
        <f t="shared" si="18"/>
        <v>-1</v>
      </c>
      <c r="O140" s="11"/>
      <c r="P140" s="2">
        <v>0</v>
      </c>
      <c r="Q140" s="2"/>
      <c r="R140" s="19">
        <f t="shared" si="19"/>
        <v>0</v>
      </c>
      <c r="S140" s="2"/>
      <c r="T140" s="2">
        <v>242.46</v>
      </c>
      <c r="U140" s="2"/>
      <c r="V140" s="19">
        <f t="shared" si="20"/>
        <v>4.5903286716222688E-5</v>
      </c>
      <c r="W140" s="2"/>
      <c r="X140" s="2">
        <f t="shared" si="21"/>
        <v>-242.46</v>
      </c>
      <c r="Y140" s="2"/>
      <c r="Z140" s="19">
        <f t="shared" si="22"/>
        <v>-1</v>
      </c>
    </row>
    <row r="141" spans="1:26" s="24" customFormat="1" hidden="1" outlineLevel="1" x14ac:dyDescent="0.3">
      <c r="A141" s="44"/>
      <c r="B141" s="11" t="str">
        <f>CONCATENATE("          ", "5586", " - ", "FREIGHT-IN-COMPUTER SUPPLIES")</f>
        <v xml:space="preserve">          5586 - FREIGHT-IN-COMPUTER SUPPLIES</v>
      </c>
      <c r="C141" s="11"/>
      <c r="D141" s="2"/>
      <c r="E141" s="2"/>
      <c r="F141" s="19">
        <f t="shared" si="15"/>
        <v>0</v>
      </c>
      <c r="G141" s="2"/>
      <c r="H141" s="2"/>
      <c r="I141" s="2"/>
      <c r="J141" s="19">
        <f t="shared" si="16"/>
        <v>0</v>
      </c>
      <c r="K141" s="2"/>
      <c r="L141" s="2">
        <f t="shared" si="17"/>
        <v>0</v>
      </c>
      <c r="M141" s="2"/>
      <c r="N141" s="19">
        <f t="shared" si="18"/>
        <v>0</v>
      </c>
      <c r="O141" s="11"/>
      <c r="P141" s="2"/>
      <c r="Q141" s="2"/>
      <c r="R141" s="19">
        <f t="shared" si="19"/>
        <v>0</v>
      </c>
      <c r="S141" s="2"/>
      <c r="T141" s="2">
        <v>24.12</v>
      </c>
      <c r="U141" s="2"/>
      <c r="V141" s="19">
        <f t="shared" si="20"/>
        <v>4.5664739569219304E-6</v>
      </c>
      <c r="W141" s="2"/>
      <c r="X141" s="2">
        <f t="shared" si="21"/>
        <v>-24.12</v>
      </c>
      <c r="Y141" s="2"/>
      <c r="Z141" s="19">
        <f t="shared" si="22"/>
        <v>-1</v>
      </c>
    </row>
    <row r="142" spans="1:26" s="24" customFormat="1" hidden="1" outlineLevel="1" x14ac:dyDescent="0.3">
      <c r="A142" s="44"/>
      <c r="B142" s="11" t="str">
        <f>CONCATENATE("          ", "5592", " - ", "FREIGHT-IN-GRAD MERCH")</f>
        <v xml:space="preserve">          5592 - FREIGHT-IN-GRAD MERCH</v>
      </c>
      <c r="C142" s="11"/>
      <c r="D142" s="2"/>
      <c r="E142" s="2"/>
      <c r="F142" s="19">
        <f t="shared" si="15"/>
        <v>0</v>
      </c>
      <c r="G142" s="2"/>
      <c r="H142" s="2"/>
      <c r="I142" s="2"/>
      <c r="J142" s="19">
        <f t="shared" si="16"/>
        <v>0</v>
      </c>
      <c r="K142" s="2"/>
      <c r="L142" s="2">
        <f t="shared" si="17"/>
        <v>0</v>
      </c>
      <c r="M142" s="2"/>
      <c r="N142" s="19">
        <f t="shared" si="18"/>
        <v>0</v>
      </c>
      <c r="O142" s="11"/>
      <c r="P142" s="2"/>
      <c r="Q142" s="2"/>
      <c r="R142" s="19">
        <f t="shared" si="19"/>
        <v>0</v>
      </c>
      <c r="S142" s="2"/>
      <c r="T142" s="2">
        <v>0</v>
      </c>
      <c r="U142" s="2"/>
      <c r="V142" s="19">
        <f t="shared" si="20"/>
        <v>0</v>
      </c>
      <c r="W142" s="2"/>
      <c r="X142" s="2">
        <f t="shared" si="21"/>
        <v>0</v>
      </c>
      <c r="Y142" s="2"/>
      <c r="Z142" s="19">
        <f t="shared" si="22"/>
        <v>0</v>
      </c>
    </row>
    <row r="143" spans="1:26" x14ac:dyDescent="0.3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3">
      <c r="A144" s="10"/>
      <c r="B144" s="25" t="s">
        <v>107</v>
      </c>
      <c r="C144" s="25"/>
      <c r="D144" s="21">
        <f>D12-D93</f>
        <v>327961.58000000007</v>
      </c>
      <c r="E144" s="13"/>
      <c r="F144" s="22">
        <f>IF(D$12=0,0,D144/D$12)</f>
        <v>0.35987078642481679</v>
      </c>
      <c r="G144" s="13"/>
      <c r="H144" s="21">
        <f>H12-H93</f>
        <v>425853.2000000003</v>
      </c>
      <c r="I144" s="13"/>
      <c r="J144" s="22">
        <f>IF(H$12=0,0,H144/H$12)</f>
        <v>0.32557197294460294</v>
      </c>
      <c r="K144" s="15"/>
      <c r="L144" s="21">
        <f>+D144-H144</f>
        <v>-97891.620000000228</v>
      </c>
      <c r="M144" s="15"/>
      <c r="N144" s="22">
        <f>IF(H144=0,0,L144/H144)</f>
        <v>-0.22987174923189529</v>
      </c>
      <c r="O144" s="26"/>
      <c r="P144" s="21">
        <f>P12-P93</f>
        <v>1921327.209999999</v>
      </c>
      <c r="Q144" s="13"/>
      <c r="R144" s="22">
        <f>IF(P$12=0,0,P144/P$12)</f>
        <v>0.34686558441082005</v>
      </c>
      <c r="S144" s="13"/>
      <c r="T144" s="21">
        <f>T12-T93</f>
        <v>1449222.109999998</v>
      </c>
      <c r="U144" s="13"/>
      <c r="V144" s="22">
        <f>IF(T$12=0,0,T144/T$12)</f>
        <v>0.27437126961486069</v>
      </c>
      <c r="W144" s="15"/>
      <c r="X144" s="21">
        <f>+P144-T144</f>
        <v>472105.10000000102</v>
      </c>
      <c r="Y144" s="15"/>
      <c r="Z144" s="22">
        <f>IF(T144=0,0,X144/T144)</f>
        <v>0.32576448892295856</v>
      </c>
    </row>
    <row r="145" spans="1:26" x14ac:dyDescent="0.3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7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3">
      <c r="A146" s="10"/>
      <c r="B146" s="26" t="s">
        <v>294</v>
      </c>
      <c r="C146" s="10"/>
      <c r="D146" s="20">
        <f>SUM(OSRRefD22x_0)</f>
        <v>373069.2099999999</v>
      </c>
      <c r="E146" s="20"/>
      <c r="F146" s="30">
        <f t="shared" ref="F146:F157" si="23">IF(D$12=0,0,D146/D$12)</f>
        <v>0.4093671886615044</v>
      </c>
      <c r="G146" s="20"/>
      <c r="H146" s="20">
        <f>SUM(OSRRefH22x_0)</f>
        <v>313228.53000000009</v>
      </c>
      <c r="I146" s="20"/>
      <c r="J146" s="30">
        <f t="shared" ref="J146:J157" si="24">IF(H$12=0,0,H146/H$12)</f>
        <v>0.23946850814937568</v>
      </c>
      <c r="K146" s="4"/>
      <c r="L146" s="20">
        <f t="shared" ref="L146:L157" si="25">+D146-H146</f>
        <v>59840.679999999818</v>
      </c>
      <c r="M146" s="4"/>
      <c r="N146" s="30">
        <f t="shared" ref="N146:N157" si="26">IF(H146=0,0,L146/H146)</f>
        <v>0.19104479403584279</v>
      </c>
      <c r="O146" s="10"/>
      <c r="P146" s="20">
        <f>SUM(OSRRefP22x_0)</f>
        <v>2325154.1300000004</v>
      </c>
      <c r="Q146" s="20"/>
      <c r="R146" s="30">
        <f t="shared" ref="R146:R157" si="27">IF(P$12=0,0,P146/P$12)</f>
        <v>0.41977022026752142</v>
      </c>
      <c r="S146" s="20"/>
      <c r="T146" s="20">
        <f>SUM(OSRRefT22x_0)</f>
        <v>2000880.1299999994</v>
      </c>
      <c r="U146" s="20"/>
      <c r="V146" s="30">
        <f t="shared" ref="V146:V157" si="28">IF(T$12=0,0,T146/T$12)</f>
        <v>0.37881289405338159</v>
      </c>
      <c r="W146" s="4"/>
      <c r="X146" s="20">
        <f t="shared" ref="X146:X157" si="29">+P146-T146</f>
        <v>324274.00000000093</v>
      </c>
      <c r="Y146" s="4"/>
      <c r="Z146" s="30">
        <f t="shared" ref="Z146:Z157" si="30">IF(T146=0,0,X146/T146)</f>
        <v>0.16206568056628212</v>
      </c>
    </row>
    <row r="147" spans="1:26" s="29" customFormat="1" outlineLevel="1" collapsed="1" x14ac:dyDescent="0.3">
      <c r="A147" s="28"/>
      <c r="B147" s="14" t="str">
        <f>CONCATENATE("     ","*Benefits                                         ")</f>
        <v xml:space="preserve">     *Benefits                                         </v>
      </c>
      <c r="C147" s="14"/>
      <c r="D147" s="1">
        <f>SUM(OSRRefD22_0x_0)</f>
        <v>61691.880000000005</v>
      </c>
      <c r="E147" s="1"/>
      <c r="F147" s="5">
        <f t="shared" si="23"/>
        <v>6.7694226170106342E-2</v>
      </c>
      <c r="G147" s="1"/>
      <c r="H147" s="1">
        <f>SUM(OSRRefH22_0x_0)</f>
        <v>54338.799999999996</v>
      </c>
      <c r="I147" s="1"/>
      <c r="J147" s="5">
        <f t="shared" si="24"/>
        <v>4.1542931515935952E-2</v>
      </c>
      <c r="K147" s="1"/>
      <c r="L147" s="1">
        <f t="shared" si="25"/>
        <v>7353.080000000009</v>
      </c>
      <c r="M147" s="1"/>
      <c r="N147" s="5">
        <f t="shared" si="26"/>
        <v>0.13531914580373527</v>
      </c>
      <c r="O147" s="14"/>
      <c r="P147" s="1">
        <f>SUM(OSRRefP22_0x_0)</f>
        <v>374212.83999999997</v>
      </c>
      <c r="Q147" s="1"/>
      <c r="R147" s="5">
        <f t="shared" si="27"/>
        <v>6.7558276781305118E-2</v>
      </c>
      <c r="S147" s="1"/>
      <c r="T147" s="1">
        <f>SUM(OSRRefT22_0x_0)</f>
        <v>340022.27999999997</v>
      </c>
      <c r="U147" s="1"/>
      <c r="V147" s="5">
        <f t="shared" si="28"/>
        <v>6.4374083183798364E-2</v>
      </c>
      <c r="W147" s="1"/>
      <c r="X147" s="1">
        <f t="shared" si="29"/>
        <v>34190.559999999998</v>
      </c>
      <c r="Y147" s="1"/>
      <c r="Z147" s="5">
        <f t="shared" si="30"/>
        <v>0.10055388135153967</v>
      </c>
    </row>
    <row r="148" spans="1:26" s="24" customFormat="1" hidden="1" outlineLevel="2" x14ac:dyDescent="0.3">
      <c r="A148" s="27"/>
      <c r="B148" s="11" t="str">
        <f>CONCATENATE("          ", "6111", " - ", "F.I.C.A.")</f>
        <v xml:space="preserve">          6111 - F.I.C.A.</v>
      </c>
      <c r="C148" s="11"/>
      <c r="D148" s="7">
        <v>7600.1</v>
      </c>
      <c r="E148" s="2"/>
      <c r="F148" s="6">
        <f t="shared" si="23"/>
        <v>8.3395560050273255E-3</v>
      </c>
      <c r="G148" s="2"/>
      <c r="H148" s="7">
        <v>8380.7099999999991</v>
      </c>
      <c r="I148" s="2"/>
      <c r="J148" s="6">
        <f t="shared" si="24"/>
        <v>6.4071945200284072E-3</v>
      </c>
      <c r="K148" s="2"/>
      <c r="L148" s="7">
        <f t="shared" si="25"/>
        <v>-780.60999999999876</v>
      </c>
      <c r="M148" s="2"/>
      <c r="N148" s="6">
        <f t="shared" si="26"/>
        <v>-9.3143659666066345E-2</v>
      </c>
      <c r="O148" s="11"/>
      <c r="P148" s="7">
        <v>66720.73</v>
      </c>
      <c r="Q148" s="2"/>
      <c r="R148" s="6">
        <f t="shared" si="27"/>
        <v>1.2045384504686498E-2</v>
      </c>
      <c r="S148" s="2"/>
      <c r="T148" s="7">
        <v>67288.31</v>
      </c>
      <c r="U148" s="2"/>
      <c r="V148" s="6">
        <f t="shared" si="28"/>
        <v>1.2739233632681986E-2</v>
      </c>
      <c r="W148" s="2"/>
      <c r="X148" s="7">
        <f t="shared" si="29"/>
        <v>-567.58000000000175</v>
      </c>
      <c r="Y148" s="2"/>
      <c r="Z148" s="6">
        <f t="shared" si="30"/>
        <v>-8.4350461469459067E-3</v>
      </c>
    </row>
    <row r="149" spans="1:26" s="24" customFormat="1" hidden="1" outlineLevel="2" x14ac:dyDescent="0.3">
      <c r="A149" s="27"/>
      <c r="B149" s="11" t="str">
        <f>CONCATENATE("          ", "6112", " - ", "COMPENSATION INSURANCE")</f>
        <v xml:space="preserve">          6112 - COMPENSATION INSURANCE</v>
      </c>
      <c r="C149" s="11"/>
      <c r="D149" s="7">
        <v>2379.58</v>
      </c>
      <c r="E149" s="2"/>
      <c r="F149" s="6">
        <f t="shared" si="23"/>
        <v>2.6111025747612431E-3</v>
      </c>
      <c r="G149" s="2"/>
      <c r="H149" s="7">
        <v>850.35</v>
      </c>
      <c r="I149" s="2"/>
      <c r="J149" s="6">
        <f t="shared" si="24"/>
        <v>6.5010695515131255E-4</v>
      </c>
      <c r="K149" s="2"/>
      <c r="L149" s="7">
        <f t="shared" si="25"/>
        <v>1529.23</v>
      </c>
      <c r="M149" s="2"/>
      <c r="N149" s="6">
        <f t="shared" si="26"/>
        <v>1.7983536190980185</v>
      </c>
      <c r="O149" s="11"/>
      <c r="P149" s="7">
        <v>18141.84</v>
      </c>
      <c r="Q149" s="2"/>
      <c r="R149" s="6">
        <f t="shared" si="27"/>
        <v>3.2752255321921945E-3</v>
      </c>
      <c r="S149" s="2"/>
      <c r="T149" s="7">
        <v>17518.29</v>
      </c>
      <c r="U149" s="2"/>
      <c r="V149" s="6">
        <f t="shared" si="28"/>
        <v>3.3166175395856505E-3</v>
      </c>
      <c r="W149" s="2"/>
      <c r="X149" s="7">
        <f t="shared" si="29"/>
        <v>623.54999999999927</v>
      </c>
      <c r="Y149" s="2"/>
      <c r="Z149" s="6">
        <f t="shared" si="30"/>
        <v>3.5594227518781753E-2</v>
      </c>
    </row>
    <row r="150" spans="1:26" s="24" customFormat="1" hidden="1" outlineLevel="2" x14ac:dyDescent="0.3">
      <c r="A150" s="27"/>
      <c r="B150" s="11" t="str">
        <f>CONCATENATE("          ", "6113", " - ", "GROUP INSURANCE")</f>
        <v xml:space="preserve">          6113 - GROUP INSURANCE</v>
      </c>
      <c r="C150" s="11"/>
      <c r="D150" s="7">
        <v>16592.41</v>
      </c>
      <c r="E150" s="2"/>
      <c r="F150" s="6">
        <f t="shared" si="23"/>
        <v>1.8206777865209068E-2</v>
      </c>
      <c r="G150" s="2"/>
      <c r="H150" s="7">
        <v>22674.14</v>
      </c>
      <c r="I150" s="2"/>
      <c r="J150" s="6">
        <f t="shared" si="24"/>
        <v>1.7334763469247463E-2</v>
      </c>
      <c r="K150" s="2"/>
      <c r="L150" s="7">
        <f t="shared" si="25"/>
        <v>-6081.73</v>
      </c>
      <c r="M150" s="2"/>
      <c r="N150" s="6">
        <f t="shared" si="26"/>
        <v>-0.26822318288587793</v>
      </c>
      <c r="O150" s="11"/>
      <c r="P150" s="7">
        <v>127149.86</v>
      </c>
      <c r="Q150" s="2"/>
      <c r="R150" s="6">
        <f t="shared" si="27"/>
        <v>2.2954919009684962E-2</v>
      </c>
      <c r="S150" s="2"/>
      <c r="T150" s="7">
        <v>117286.62</v>
      </c>
      <c r="U150" s="2"/>
      <c r="V150" s="6">
        <f t="shared" si="28"/>
        <v>2.2205070303706418E-2</v>
      </c>
      <c r="W150" s="2"/>
      <c r="X150" s="7">
        <f t="shared" si="29"/>
        <v>9863.2400000000052</v>
      </c>
      <c r="Y150" s="2"/>
      <c r="Z150" s="6">
        <f t="shared" si="30"/>
        <v>8.4095184940959217E-2</v>
      </c>
    </row>
    <row r="151" spans="1:26" s="24" customFormat="1" hidden="1" outlineLevel="2" x14ac:dyDescent="0.3">
      <c r="A151" s="27"/>
      <c r="B151" s="11" t="str">
        <f>CONCATENATE("          ", "6114", " - ", "STATE UNEMPLOYMENT INSURANCE")</f>
        <v xml:space="preserve">          6114 - STATE UNEMPLOYMENT INSURANCE</v>
      </c>
      <c r="C151" s="11"/>
      <c r="D151" s="7">
        <v>428.31</v>
      </c>
      <c r="E151" s="2"/>
      <c r="F151" s="6">
        <f t="shared" si="23"/>
        <v>4.6998266240092288E-4</v>
      </c>
      <c r="G151" s="2"/>
      <c r="H151" s="7">
        <v>710.58</v>
      </c>
      <c r="I151" s="2"/>
      <c r="J151" s="6">
        <f t="shared" si="24"/>
        <v>5.4325042652016186E-4</v>
      </c>
      <c r="K151" s="2"/>
      <c r="L151" s="7">
        <f t="shared" si="25"/>
        <v>-282.27000000000004</v>
      </c>
      <c r="M151" s="2"/>
      <c r="N151" s="6">
        <f t="shared" si="26"/>
        <v>-0.39723887528497848</v>
      </c>
      <c r="O151" s="11"/>
      <c r="P151" s="7">
        <v>3268.56</v>
      </c>
      <c r="Q151" s="2"/>
      <c r="R151" s="6">
        <f t="shared" si="27"/>
        <v>5.9008739827394127E-4</v>
      </c>
      <c r="S151" s="2"/>
      <c r="T151" s="7">
        <v>2775.54</v>
      </c>
      <c r="U151" s="2"/>
      <c r="V151" s="6">
        <f t="shared" si="28"/>
        <v>5.2547392729664576E-4</v>
      </c>
      <c r="W151" s="2"/>
      <c r="X151" s="7">
        <f t="shared" si="29"/>
        <v>493.02</v>
      </c>
      <c r="Y151" s="2"/>
      <c r="Z151" s="6">
        <f t="shared" si="30"/>
        <v>0.1776302989688493</v>
      </c>
    </row>
    <row r="152" spans="1:26" s="24" customFormat="1" hidden="1" outlineLevel="2" x14ac:dyDescent="0.3">
      <c r="A152" s="27"/>
      <c r="B152" s="11" t="str">
        <f>CONCATENATE("          ", "6115", " - ", "P.E.R.S.")</f>
        <v xml:space="preserve">          6115 - P.E.R.S.</v>
      </c>
      <c r="C152" s="11"/>
      <c r="D152" s="7">
        <v>5830.95</v>
      </c>
      <c r="E152" s="2"/>
      <c r="F152" s="6">
        <f t="shared" si="23"/>
        <v>6.3982755605207931E-3</v>
      </c>
      <c r="G152" s="2"/>
      <c r="H152" s="7">
        <v>9771.85</v>
      </c>
      <c r="I152" s="2"/>
      <c r="J152" s="6">
        <f t="shared" si="24"/>
        <v>7.4707445754046611E-3</v>
      </c>
      <c r="K152" s="2"/>
      <c r="L152" s="7">
        <f t="shared" si="25"/>
        <v>-3940.9000000000005</v>
      </c>
      <c r="M152" s="2"/>
      <c r="N152" s="6">
        <f t="shared" si="26"/>
        <v>-0.40329108613005732</v>
      </c>
      <c r="O152" s="11"/>
      <c r="P152" s="7">
        <v>49126.49</v>
      </c>
      <c r="Q152" s="2"/>
      <c r="R152" s="6">
        <f t="shared" si="27"/>
        <v>8.8690195897981969E-3</v>
      </c>
      <c r="S152" s="2"/>
      <c r="T152" s="7">
        <v>50936.63</v>
      </c>
      <c r="U152" s="2"/>
      <c r="V152" s="6">
        <f t="shared" si="28"/>
        <v>9.6434823527515885E-3</v>
      </c>
      <c r="W152" s="2"/>
      <c r="X152" s="7">
        <f t="shared" si="29"/>
        <v>-1810.1399999999994</v>
      </c>
      <c r="Y152" s="2"/>
      <c r="Z152" s="6">
        <f t="shared" si="30"/>
        <v>-3.5537097762455026E-2</v>
      </c>
    </row>
    <row r="153" spans="1:26" s="24" customFormat="1" hidden="1" outlineLevel="2" x14ac:dyDescent="0.3">
      <c r="A153" s="27"/>
      <c r="B153" s="11" t="str">
        <f>CONCATENATE("          ", "6116", " - ", "EDUCATIONAL BENEFITS")</f>
        <v xml:space="preserve">          6116 - EDUCATIONAL BENEFITS</v>
      </c>
      <c r="C153" s="11"/>
      <c r="D153" s="7"/>
      <c r="E153" s="2"/>
      <c r="F153" s="6">
        <f t="shared" si="23"/>
        <v>0</v>
      </c>
      <c r="G153" s="2"/>
      <c r="H153" s="7"/>
      <c r="I153" s="2"/>
      <c r="J153" s="6">
        <f t="shared" si="24"/>
        <v>0</v>
      </c>
      <c r="K153" s="2"/>
      <c r="L153" s="7">
        <f t="shared" si="25"/>
        <v>0</v>
      </c>
      <c r="M153" s="2"/>
      <c r="N153" s="6">
        <f t="shared" si="26"/>
        <v>0</v>
      </c>
      <c r="O153" s="11"/>
      <c r="P153" s="7"/>
      <c r="Q153" s="2"/>
      <c r="R153" s="6">
        <f t="shared" si="27"/>
        <v>0</v>
      </c>
      <c r="S153" s="2"/>
      <c r="T153" s="7">
        <v>0</v>
      </c>
      <c r="U153" s="2"/>
      <c r="V153" s="6">
        <f t="shared" si="28"/>
        <v>0</v>
      </c>
      <c r="W153" s="2"/>
      <c r="X153" s="7">
        <f t="shared" si="29"/>
        <v>0</v>
      </c>
      <c r="Y153" s="2"/>
      <c r="Z153" s="6">
        <f t="shared" si="30"/>
        <v>0</v>
      </c>
    </row>
    <row r="154" spans="1:26" s="24" customFormat="1" hidden="1" outlineLevel="2" x14ac:dyDescent="0.3">
      <c r="A154" s="27"/>
      <c r="B154" s="11" t="str">
        <f>CONCATENATE("          ", "6117", " - ", "RETIREMENT STAFF HOURLY")</f>
        <v xml:space="preserve">          6117 - RETIREMENT STAFF HOURLY</v>
      </c>
      <c r="C154" s="11"/>
      <c r="D154" s="7">
        <v>1148.6500000000001</v>
      </c>
      <c r="E154" s="2"/>
      <c r="F154" s="6">
        <f t="shared" si="23"/>
        <v>1.2604085479368218E-3</v>
      </c>
      <c r="G154" s="2"/>
      <c r="H154" s="7">
        <v>682.92</v>
      </c>
      <c r="I154" s="2"/>
      <c r="J154" s="6">
        <f t="shared" si="24"/>
        <v>5.2210388876572508E-4</v>
      </c>
      <c r="K154" s="2"/>
      <c r="L154" s="7">
        <f t="shared" si="25"/>
        <v>465.73000000000013</v>
      </c>
      <c r="M154" s="2"/>
      <c r="N154" s="6">
        <f t="shared" si="26"/>
        <v>0.68196860540033999</v>
      </c>
      <c r="O154" s="11"/>
      <c r="P154" s="7">
        <v>4425.72</v>
      </c>
      <c r="Q154" s="2"/>
      <c r="R154" s="6">
        <f t="shared" si="27"/>
        <v>7.9899454202735998E-4</v>
      </c>
      <c r="S154" s="2"/>
      <c r="T154" s="7">
        <v>3522.08</v>
      </c>
      <c r="U154" s="2"/>
      <c r="V154" s="6">
        <f t="shared" si="28"/>
        <v>6.6681121866482551E-4</v>
      </c>
      <c r="W154" s="2"/>
      <c r="X154" s="7">
        <f t="shared" si="29"/>
        <v>903.64000000000033</v>
      </c>
      <c r="Y154" s="2"/>
      <c r="Z154" s="6">
        <f t="shared" si="30"/>
        <v>0.25656430291191579</v>
      </c>
    </row>
    <row r="155" spans="1:26" s="24" customFormat="1" hidden="1" outlineLevel="2" x14ac:dyDescent="0.3">
      <c r="A155" s="27"/>
      <c r="B155" s="11" t="str">
        <f>CONCATENATE("          ", "6118", " - ", "VACATION")</f>
        <v xml:space="preserve">          6118 - VACATION</v>
      </c>
      <c r="C155" s="11"/>
      <c r="D155" s="7">
        <v>10030.41</v>
      </c>
      <c r="E155" s="2"/>
      <c r="F155" s="6">
        <f t="shared" si="23"/>
        <v>1.1006324383677338E-2</v>
      </c>
      <c r="G155" s="2"/>
      <c r="H155" s="7">
        <v>6046.1</v>
      </c>
      <c r="I155" s="2"/>
      <c r="J155" s="6">
        <f t="shared" si="24"/>
        <v>4.6223456947613933E-3</v>
      </c>
      <c r="K155" s="2"/>
      <c r="L155" s="7">
        <f t="shared" si="25"/>
        <v>3984.3099999999995</v>
      </c>
      <c r="M155" s="2"/>
      <c r="N155" s="6">
        <f t="shared" si="26"/>
        <v>0.65898843882833547</v>
      </c>
      <c r="O155" s="11"/>
      <c r="P155" s="7">
        <v>45339.4</v>
      </c>
      <c r="Q155" s="2"/>
      <c r="R155" s="6">
        <f t="shared" si="27"/>
        <v>8.1853197081594147E-3</v>
      </c>
      <c r="S155" s="2"/>
      <c r="T155" s="7">
        <v>40021.89</v>
      </c>
      <c r="U155" s="2"/>
      <c r="V155" s="6">
        <f t="shared" si="28"/>
        <v>7.5770695850660959E-3</v>
      </c>
      <c r="W155" s="2"/>
      <c r="X155" s="7">
        <f t="shared" si="29"/>
        <v>5317.510000000002</v>
      </c>
      <c r="Y155" s="2"/>
      <c r="Z155" s="6">
        <f t="shared" si="30"/>
        <v>0.13286503960707507</v>
      </c>
    </row>
    <row r="156" spans="1:26" s="24" customFormat="1" hidden="1" outlineLevel="2" x14ac:dyDescent="0.3">
      <c r="A156" s="27"/>
      <c r="B156" s="11" t="str">
        <f>CONCATENATE("          ", "6119", " - ", "SICK LEAVE")</f>
        <v xml:space="preserve">          6119 - SICK LEAVE</v>
      </c>
      <c r="C156" s="11"/>
      <c r="D156" s="7">
        <v>14559.46</v>
      </c>
      <c r="E156" s="2"/>
      <c r="F156" s="6">
        <f t="shared" si="23"/>
        <v>1.5976030851298686E-2</v>
      </c>
      <c r="G156" s="2"/>
      <c r="H156" s="7">
        <v>4206.97</v>
      </c>
      <c r="I156" s="2"/>
      <c r="J156" s="6">
        <f t="shared" si="24"/>
        <v>3.2162997084881724E-3</v>
      </c>
      <c r="K156" s="2"/>
      <c r="L156" s="7">
        <f t="shared" si="25"/>
        <v>10352.489999999998</v>
      </c>
      <c r="M156" s="2"/>
      <c r="N156" s="6">
        <f t="shared" si="26"/>
        <v>2.460794823828075</v>
      </c>
      <c r="O156" s="11"/>
      <c r="P156" s="7">
        <v>40386.51</v>
      </c>
      <c r="Q156" s="2"/>
      <c r="R156" s="6">
        <f t="shared" si="27"/>
        <v>7.2911528658689195E-3</v>
      </c>
      <c r="S156" s="2"/>
      <c r="T156" s="7">
        <v>29272.37</v>
      </c>
      <c r="U156" s="2"/>
      <c r="V156" s="6">
        <f t="shared" si="28"/>
        <v>5.5419367853392536E-3</v>
      </c>
      <c r="W156" s="2"/>
      <c r="X156" s="7">
        <f t="shared" si="29"/>
        <v>11114.140000000003</v>
      </c>
      <c r="Y156" s="2"/>
      <c r="Z156" s="6">
        <f t="shared" si="30"/>
        <v>0.37968022404745511</v>
      </c>
    </row>
    <row r="157" spans="1:26" s="24" customFormat="1" hidden="1" outlineLevel="2" x14ac:dyDescent="0.3">
      <c r="A157" s="27"/>
      <c r="B157" s="11" t="str">
        <f>CONCATENATE("          ", "6156", " - ", "EMPLOYEE MEALS")</f>
        <v xml:space="preserve">          6156 - EMPLOYEE MEALS</v>
      </c>
      <c r="C157" s="11"/>
      <c r="D157" s="7">
        <v>3122.01</v>
      </c>
      <c r="E157" s="2"/>
      <c r="F157" s="6">
        <f t="shared" si="23"/>
        <v>3.425767719274136E-3</v>
      </c>
      <c r="G157" s="2"/>
      <c r="H157" s="7">
        <v>1015.18</v>
      </c>
      <c r="I157" s="2"/>
      <c r="J157" s="6">
        <f t="shared" si="24"/>
        <v>7.7612227756865932E-4</v>
      </c>
      <c r="K157" s="2"/>
      <c r="L157" s="7">
        <f t="shared" si="25"/>
        <v>2106.8300000000004</v>
      </c>
      <c r="M157" s="2"/>
      <c r="N157" s="6">
        <f t="shared" si="26"/>
        <v>2.0753265430761054</v>
      </c>
      <c r="O157" s="11"/>
      <c r="P157" s="7">
        <v>19653.73</v>
      </c>
      <c r="Q157" s="2"/>
      <c r="R157" s="6">
        <f t="shared" si="27"/>
        <v>3.5481736306136368E-3</v>
      </c>
      <c r="S157" s="2"/>
      <c r="T157" s="7">
        <v>11400.55</v>
      </c>
      <c r="U157" s="2"/>
      <c r="V157" s="6">
        <f t="shared" si="28"/>
        <v>2.1583878387059002E-3</v>
      </c>
      <c r="W157" s="2"/>
      <c r="X157" s="7">
        <f t="shared" si="29"/>
        <v>8253.18</v>
      </c>
      <c r="Y157" s="2"/>
      <c r="Z157" s="6">
        <f t="shared" si="30"/>
        <v>0.72392823153268926</v>
      </c>
    </row>
    <row r="158" spans="1:26" s="29" customFormat="1" outlineLevel="1" collapsed="1" x14ac:dyDescent="0.3">
      <c r="A158" s="28"/>
      <c r="B158" s="14" t="str">
        <f>CONCATENATE("     ","*Payroll                                          ")</f>
        <v xml:space="preserve">     *Payroll                                          </v>
      </c>
      <c r="C158" s="14"/>
      <c r="D158" s="1">
        <f>SUM(OSRRefD22_1x_0)</f>
        <v>204928.52000000002</v>
      </c>
      <c r="E158" s="1"/>
      <c r="F158" s="5">
        <f t="shared" ref="F158:F165" si="31">IF(D$12=0,0,D158/D$12)</f>
        <v>0.22486715563839457</v>
      </c>
      <c r="G158" s="1"/>
      <c r="H158" s="1">
        <f>SUM(OSRRefH22_1x_0)</f>
        <v>174778.48</v>
      </c>
      <c r="I158" s="1"/>
      <c r="J158" s="5">
        <f t="shared" ref="J158:J165" si="32">IF(H$12=0,0,H158/H$12)</f>
        <v>0.13362110361471696</v>
      </c>
      <c r="K158" s="1"/>
      <c r="L158" s="1">
        <f t="shared" ref="L158:L165" si="33">+D158-H158</f>
        <v>30150.040000000008</v>
      </c>
      <c r="M158" s="1"/>
      <c r="N158" s="5">
        <f t="shared" ref="N158:N165" si="34">IF(H158=0,0,L158/H158)</f>
        <v>0.17250430373350314</v>
      </c>
      <c r="O158" s="14"/>
      <c r="P158" s="1">
        <f>SUM(OSRRefP22_1x_0)</f>
        <v>1220098.8099999998</v>
      </c>
      <c r="Q158" s="1"/>
      <c r="R158" s="5">
        <f t="shared" ref="R158:R165" si="35">IF(P$12=0,0,P158/P$12)</f>
        <v>0.22026976173912419</v>
      </c>
      <c r="S158" s="1"/>
      <c r="T158" s="1">
        <f>SUM(OSRRefT22_1x_0)</f>
        <v>952429.11999999988</v>
      </c>
      <c r="U158" s="1"/>
      <c r="V158" s="5">
        <f t="shared" ref="V158:V165" si="36">IF(T$12=0,0,T158/T$12)</f>
        <v>0.18031686452297147</v>
      </c>
      <c r="W158" s="1"/>
      <c r="X158" s="1">
        <f t="shared" ref="X158:X165" si="37">+P158-T158</f>
        <v>267669.68999999994</v>
      </c>
      <c r="Y158" s="1"/>
      <c r="Z158" s="5">
        <f t="shared" ref="Z158:Z165" si="38">IF(T158=0,0,X158/T158)</f>
        <v>0.28103896067352496</v>
      </c>
    </row>
    <row r="159" spans="1:26" s="24" customFormat="1" hidden="1" outlineLevel="2" x14ac:dyDescent="0.3">
      <c r="A159" s="27"/>
      <c r="B159" s="11" t="str">
        <f>CONCATENATE("          ", "6001", " - ", "ADMINISTRATIVE SALARIES")</f>
        <v xml:space="preserve">          6001 - ADMINISTRATIVE SALARIES</v>
      </c>
      <c r="C159" s="11"/>
      <c r="D159" s="7">
        <v>5357.43</v>
      </c>
      <c r="E159" s="2"/>
      <c r="F159" s="6">
        <f t="shared" si="31"/>
        <v>5.878684165736444E-3</v>
      </c>
      <c r="G159" s="2"/>
      <c r="H159" s="7">
        <v>5332.74</v>
      </c>
      <c r="I159" s="2"/>
      <c r="J159" s="6">
        <f t="shared" si="32"/>
        <v>4.0769699112290355E-3</v>
      </c>
      <c r="K159" s="2"/>
      <c r="L159" s="7">
        <f t="shared" si="33"/>
        <v>24.690000000000509</v>
      </c>
      <c r="M159" s="2"/>
      <c r="N159" s="6">
        <f t="shared" si="34"/>
        <v>4.6298900752709694E-3</v>
      </c>
      <c r="O159" s="11"/>
      <c r="P159" s="7">
        <v>33692.199999999997</v>
      </c>
      <c r="Q159" s="2"/>
      <c r="R159" s="6">
        <f t="shared" si="35"/>
        <v>6.0825998727651581E-3</v>
      </c>
      <c r="S159" s="2"/>
      <c r="T159" s="7">
        <v>30215.85</v>
      </c>
      <c r="U159" s="2"/>
      <c r="V159" s="6">
        <f t="shared" si="36"/>
        <v>5.7205593744303279E-3</v>
      </c>
      <c r="W159" s="2"/>
      <c r="X159" s="7">
        <f t="shared" si="37"/>
        <v>3476.3499999999985</v>
      </c>
      <c r="Y159" s="2"/>
      <c r="Z159" s="6">
        <f t="shared" si="38"/>
        <v>0.11505054466447241</v>
      </c>
    </row>
    <row r="160" spans="1:26" s="24" customFormat="1" hidden="1" outlineLevel="2" x14ac:dyDescent="0.3">
      <c r="A160" s="27"/>
      <c r="B160" s="11" t="str">
        <f>CONCATENATE("          ", "6002", " - ", "STAFF SALARIES")</f>
        <v xml:space="preserve">          6002 - STAFF SALARIES</v>
      </c>
      <c r="C160" s="11"/>
      <c r="D160" s="7">
        <v>65089.16</v>
      </c>
      <c r="E160" s="2"/>
      <c r="F160" s="6">
        <f t="shared" si="31"/>
        <v>7.1422046438886916E-2</v>
      </c>
      <c r="G160" s="2"/>
      <c r="H160" s="7">
        <v>82169.56</v>
      </c>
      <c r="I160" s="2"/>
      <c r="J160" s="6">
        <f t="shared" si="32"/>
        <v>6.2820018178071479E-2</v>
      </c>
      <c r="K160" s="2"/>
      <c r="L160" s="7">
        <f t="shared" si="33"/>
        <v>-17080.399999999994</v>
      </c>
      <c r="M160" s="2"/>
      <c r="N160" s="6">
        <f t="shared" si="34"/>
        <v>-0.20786773106731976</v>
      </c>
      <c r="O160" s="11"/>
      <c r="P160" s="7">
        <v>418281.17</v>
      </c>
      <c r="Q160" s="2"/>
      <c r="R160" s="6">
        <f t="shared" si="35"/>
        <v>7.5514124676395761E-2</v>
      </c>
      <c r="S160" s="2"/>
      <c r="T160" s="7">
        <v>430919.1</v>
      </c>
      <c r="U160" s="2"/>
      <c r="V160" s="6">
        <f t="shared" si="36"/>
        <v>8.1582953884338186E-2</v>
      </c>
      <c r="W160" s="2"/>
      <c r="X160" s="7">
        <f t="shared" si="37"/>
        <v>-12637.929999999993</v>
      </c>
      <c r="Y160" s="2"/>
      <c r="Z160" s="6">
        <f t="shared" si="38"/>
        <v>-2.9327848313059211E-2</v>
      </c>
    </row>
    <row r="161" spans="1:26" s="24" customFormat="1" hidden="1" outlineLevel="2" x14ac:dyDescent="0.3">
      <c r="A161" s="27"/>
      <c r="B161" s="11" t="str">
        <f>CONCATENATE("          ", "6004", " - ", "STAFF HOURLY")</f>
        <v xml:space="preserve">          6004 - STAFF HOURLY</v>
      </c>
      <c r="C161" s="11"/>
      <c r="D161" s="7">
        <v>24469.11</v>
      </c>
      <c r="E161" s="2"/>
      <c r="F161" s="6">
        <f t="shared" si="31"/>
        <v>2.6849845822841039E-2</v>
      </c>
      <c r="G161" s="2"/>
      <c r="H161" s="7">
        <v>22328.73</v>
      </c>
      <c r="I161" s="2"/>
      <c r="J161" s="6">
        <f t="shared" si="32"/>
        <v>1.7070691683066696E-2</v>
      </c>
      <c r="K161" s="2"/>
      <c r="L161" s="7">
        <f t="shared" si="33"/>
        <v>2140.380000000001</v>
      </c>
      <c r="M161" s="2"/>
      <c r="N161" s="6">
        <f t="shared" si="34"/>
        <v>9.5857668573179081E-2</v>
      </c>
      <c r="O161" s="11"/>
      <c r="P161" s="7">
        <v>174685.7</v>
      </c>
      <c r="Q161" s="2"/>
      <c r="R161" s="6">
        <f t="shared" si="35"/>
        <v>3.1536771614613844E-2</v>
      </c>
      <c r="S161" s="2"/>
      <c r="T161" s="7">
        <v>134701.79999999999</v>
      </c>
      <c r="U161" s="2"/>
      <c r="V161" s="6">
        <f t="shared" si="36"/>
        <v>2.5502166735095623E-2</v>
      </c>
      <c r="W161" s="2"/>
      <c r="X161" s="7">
        <f t="shared" si="37"/>
        <v>39983.900000000023</v>
      </c>
      <c r="Y161" s="2"/>
      <c r="Z161" s="6">
        <f t="shared" si="38"/>
        <v>0.29683270750650714</v>
      </c>
    </row>
    <row r="162" spans="1:26" s="24" customFormat="1" hidden="1" outlineLevel="2" x14ac:dyDescent="0.3">
      <c r="A162" s="27"/>
      <c r="B162" s="11" t="str">
        <f>CONCATENATE("          ", "6005", " - ", "TEMPORARY WAGES-HOURLY")</f>
        <v xml:space="preserve">          6005 - TEMPORARY WAGES-HOURLY</v>
      </c>
      <c r="C162" s="11"/>
      <c r="D162" s="7">
        <v>8438.68</v>
      </c>
      <c r="E162" s="2"/>
      <c r="F162" s="6">
        <f t="shared" si="31"/>
        <v>9.2597261178805537E-3</v>
      </c>
      <c r="G162" s="2"/>
      <c r="H162" s="7">
        <v>12550.77</v>
      </c>
      <c r="I162" s="2"/>
      <c r="J162" s="6">
        <f t="shared" si="32"/>
        <v>9.5952759093366723E-3</v>
      </c>
      <c r="K162" s="2"/>
      <c r="L162" s="7">
        <f t="shared" si="33"/>
        <v>-4112.09</v>
      </c>
      <c r="M162" s="2"/>
      <c r="N162" s="6">
        <f t="shared" si="34"/>
        <v>-0.32763647170651683</v>
      </c>
      <c r="O162" s="11"/>
      <c r="P162" s="7">
        <v>68165.259999999995</v>
      </c>
      <c r="Q162" s="2"/>
      <c r="R162" s="6">
        <f t="shared" si="35"/>
        <v>1.2306171808400873E-2</v>
      </c>
      <c r="S162" s="2"/>
      <c r="T162" s="7">
        <v>110194.22</v>
      </c>
      <c r="U162" s="2"/>
      <c r="V162" s="6">
        <f t="shared" si="36"/>
        <v>2.0862314918462924E-2</v>
      </c>
      <c r="W162" s="2"/>
      <c r="X162" s="7">
        <f t="shared" si="37"/>
        <v>-42028.960000000006</v>
      </c>
      <c r="Y162" s="2"/>
      <c r="Z162" s="6">
        <f t="shared" si="38"/>
        <v>-0.38140802666419349</v>
      </c>
    </row>
    <row r="163" spans="1:26" s="24" customFormat="1" hidden="1" outlineLevel="2" x14ac:dyDescent="0.3">
      <c r="A163" s="27"/>
      <c r="B163" s="11" t="str">
        <f>CONCATENATE("          ", "6006", " - ", "TEMPORARY PART TIME")</f>
        <v xml:space="preserve">          6006 - TEMPORARY PART TIME</v>
      </c>
      <c r="C163" s="11"/>
      <c r="D163" s="7">
        <v>2092.35</v>
      </c>
      <c r="E163" s="2"/>
      <c r="F163" s="6">
        <f t="shared" si="31"/>
        <v>2.2959263703265648E-3</v>
      </c>
      <c r="G163" s="2"/>
      <c r="H163" s="7"/>
      <c r="I163" s="2"/>
      <c r="J163" s="6">
        <f t="shared" si="32"/>
        <v>0</v>
      </c>
      <c r="K163" s="2"/>
      <c r="L163" s="7">
        <f t="shared" si="33"/>
        <v>2092.35</v>
      </c>
      <c r="M163" s="2"/>
      <c r="N163" s="6">
        <f t="shared" si="34"/>
        <v>0</v>
      </c>
      <c r="O163" s="11"/>
      <c r="P163" s="7">
        <v>11969.97</v>
      </c>
      <c r="Q163" s="2"/>
      <c r="R163" s="6">
        <f t="shared" si="35"/>
        <v>2.1609909118134986E-3</v>
      </c>
      <c r="S163" s="2"/>
      <c r="T163" s="7">
        <v>9987.9599999999991</v>
      </c>
      <c r="U163" s="2"/>
      <c r="V163" s="6">
        <f t="shared" si="36"/>
        <v>1.8909518749078756E-3</v>
      </c>
      <c r="W163" s="2"/>
      <c r="X163" s="7">
        <f t="shared" si="37"/>
        <v>1982.0100000000002</v>
      </c>
      <c r="Y163" s="2"/>
      <c r="Z163" s="6">
        <f t="shared" si="38"/>
        <v>0.19843992166568553</v>
      </c>
    </row>
    <row r="164" spans="1:26" s="24" customFormat="1" hidden="1" outlineLevel="2" x14ac:dyDescent="0.3">
      <c r="A164" s="27"/>
      <c r="B164" s="11" t="str">
        <f>CONCATENATE("          ", "6007", " - ", "STUDENT HOURLY")</f>
        <v xml:space="preserve">          6007 - STUDENT HOURLY</v>
      </c>
      <c r="C164" s="11"/>
      <c r="D164" s="7">
        <v>93822.85</v>
      </c>
      <c r="E164" s="2"/>
      <c r="F164" s="6">
        <f t="shared" si="31"/>
        <v>0.10295139697191853</v>
      </c>
      <c r="G164" s="2"/>
      <c r="H164" s="7">
        <v>51151.8</v>
      </c>
      <c r="I164" s="2"/>
      <c r="J164" s="6">
        <f t="shared" si="32"/>
        <v>3.9106416121019477E-2</v>
      </c>
      <c r="K164" s="2"/>
      <c r="L164" s="7">
        <f t="shared" si="33"/>
        <v>42671.05</v>
      </c>
      <c r="M164" s="2"/>
      <c r="N164" s="6">
        <f t="shared" si="34"/>
        <v>0.83420427042645617</v>
      </c>
      <c r="O164" s="11"/>
      <c r="P164" s="7">
        <v>444207.6</v>
      </c>
      <c r="Q164" s="2"/>
      <c r="R164" s="6">
        <f t="shared" si="35"/>
        <v>8.0194736207232414E-2</v>
      </c>
      <c r="S164" s="2"/>
      <c r="T164" s="7">
        <v>230234.86</v>
      </c>
      <c r="U164" s="2"/>
      <c r="V164" s="6">
        <f t="shared" si="36"/>
        <v>4.3588784915653676E-2</v>
      </c>
      <c r="W164" s="2"/>
      <c r="X164" s="7">
        <f t="shared" si="37"/>
        <v>213972.74</v>
      </c>
      <c r="Y164" s="2"/>
      <c r="Z164" s="6">
        <f t="shared" si="38"/>
        <v>0.92936725567970035</v>
      </c>
    </row>
    <row r="165" spans="1:26" s="24" customFormat="1" hidden="1" outlineLevel="2" x14ac:dyDescent="0.3">
      <c r="A165" s="27"/>
      <c r="B165" s="11" t="str">
        <f>CONCATENATE("          ", "6008", " - ", "STUDENT HOURLY-FICA EXEMPT")</f>
        <v xml:space="preserve">          6008 - STUDENT HOURLY-FICA EXEMPT</v>
      </c>
      <c r="C165" s="11"/>
      <c r="D165" s="7">
        <v>5658.94</v>
      </c>
      <c r="E165" s="2"/>
      <c r="F165" s="6">
        <f t="shared" si="31"/>
        <v>6.2095297508045063E-3</v>
      </c>
      <c r="G165" s="2"/>
      <c r="H165" s="7">
        <v>1244.8800000000001</v>
      </c>
      <c r="I165" s="2"/>
      <c r="J165" s="6">
        <f t="shared" si="32"/>
        <v>9.5173181199360965E-4</v>
      </c>
      <c r="K165" s="2"/>
      <c r="L165" s="7">
        <f t="shared" si="33"/>
        <v>4414.0599999999995</v>
      </c>
      <c r="M165" s="2"/>
      <c r="N165" s="6">
        <f t="shared" si="34"/>
        <v>3.5457714799820055</v>
      </c>
      <c r="O165" s="11"/>
      <c r="P165" s="7">
        <v>69096.91</v>
      </c>
      <c r="Q165" s="2"/>
      <c r="R165" s="6">
        <f t="shared" si="35"/>
        <v>1.2474366647902649E-2</v>
      </c>
      <c r="S165" s="2"/>
      <c r="T165" s="7">
        <v>6175.33</v>
      </c>
      <c r="U165" s="2"/>
      <c r="V165" s="6">
        <f t="shared" si="36"/>
        <v>1.1691328200828649E-3</v>
      </c>
      <c r="W165" s="2"/>
      <c r="X165" s="7">
        <f t="shared" si="37"/>
        <v>62921.58</v>
      </c>
      <c r="Y165" s="2"/>
      <c r="Z165" s="6">
        <f t="shared" si="38"/>
        <v>10.189185031407229</v>
      </c>
    </row>
    <row r="166" spans="1:26" s="29" customFormat="1" outlineLevel="1" collapsed="1" x14ac:dyDescent="0.3">
      <c r="A166" s="28"/>
      <c r="B166" s="14" t="str">
        <f>CONCATENATE("     ","Advertising/Promo                                 ")</f>
        <v xml:space="preserve">     Advertising/Promo                                 </v>
      </c>
      <c r="C166" s="14"/>
      <c r="D166" s="1">
        <f>SUM(OSRRefD22_2x_0)</f>
        <v>750.91</v>
      </c>
      <c r="E166" s="1"/>
      <c r="F166" s="5">
        <f t="shared" ref="F166:F170" si="39">IF(D$12=0,0,D166/D$12)</f>
        <v>8.2397021088341852E-4</v>
      </c>
      <c r="G166" s="1"/>
      <c r="H166" s="1">
        <f>SUM(OSRRefH22_2x_0)</f>
        <v>1681.68</v>
      </c>
      <c r="I166" s="1"/>
      <c r="J166" s="5">
        <f t="shared" ref="J166:J170" si="40">IF(H$12=0,0,H166/H$12)</f>
        <v>1.2856727986580341E-3</v>
      </c>
      <c r="K166" s="1"/>
      <c r="L166" s="1">
        <f t="shared" ref="L166:L170" si="41">+D166-H166</f>
        <v>-930.7700000000001</v>
      </c>
      <c r="M166" s="1"/>
      <c r="N166" s="5">
        <f t="shared" ref="N166:N170" si="42">IF(H166=0,0,L166/H166)</f>
        <v>-0.55347628561914275</v>
      </c>
      <c r="O166" s="14"/>
      <c r="P166" s="1">
        <f>SUM(OSRRefP22_2x_0)</f>
        <v>6424.03</v>
      </c>
      <c r="Q166" s="1"/>
      <c r="R166" s="5">
        <f t="shared" ref="R166:R170" si="43">IF(P$12=0,0,P166/P$12)</f>
        <v>1.1597581654103786E-3</v>
      </c>
      <c r="S166" s="1"/>
      <c r="T166" s="1">
        <f>SUM(OSRRefT22_2x_0)</f>
        <v>16633.07</v>
      </c>
      <c r="U166" s="1"/>
      <c r="V166" s="5">
        <f t="shared" ref="V166:V170" si="44">IF(T$12=0,0,T166/T$12)</f>
        <v>3.1490249161964948E-3</v>
      </c>
      <c r="W166" s="1"/>
      <c r="X166" s="1">
        <f t="shared" ref="X166:X170" si="45">+P166-T166</f>
        <v>-10209.040000000001</v>
      </c>
      <c r="Y166" s="1"/>
      <c r="Z166" s="5">
        <f t="shared" ref="Z166:Z170" si="46">IF(T166=0,0,X166/T166)</f>
        <v>-0.61377965703264648</v>
      </c>
    </row>
    <row r="167" spans="1:26" s="24" customFormat="1" hidden="1" outlineLevel="2" x14ac:dyDescent="0.3">
      <c r="A167" s="27"/>
      <c r="B167" s="11" t="str">
        <f>CONCATENATE("          ", "6362", " - ", "ADVERTISING EXPENSE")</f>
        <v xml:space="preserve">          6362 - ADVERTISING EXPENSE</v>
      </c>
      <c r="C167" s="11"/>
      <c r="D167" s="7">
        <v>750.91</v>
      </c>
      <c r="E167" s="2"/>
      <c r="F167" s="6">
        <f t="shared" si="39"/>
        <v>8.2397021088341852E-4</v>
      </c>
      <c r="G167" s="2"/>
      <c r="H167" s="7">
        <v>1681.68</v>
      </c>
      <c r="I167" s="2"/>
      <c r="J167" s="6">
        <f t="shared" si="40"/>
        <v>1.2856727986580341E-3</v>
      </c>
      <c r="K167" s="2"/>
      <c r="L167" s="7">
        <f t="shared" si="41"/>
        <v>-930.7700000000001</v>
      </c>
      <c r="M167" s="2"/>
      <c r="N167" s="6">
        <f t="shared" si="42"/>
        <v>-0.55347628561914275</v>
      </c>
      <c r="O167" s="11"/>
      <c r="P167" s="7">
        <v>6424.03</v>
      </c>
      <c r="Q167" s="2"/>
      <c r="R167" s="6">
        <f t="shared" si="43"/>
        <v>1.1597581654103786E-3</v>
      </c>
      <c r="S167" s="2"/>
      <c r="T167" s="7">
        <v>16633.07</v>
      </c>
      <c r="U167" s="2"/>
      <c r="V167" s="6">
        <f t="shared" si="44"/>
        <v>3.1490249161964948E-3</v>
      </c>
      <c r="W167" s="2"/>
      <c r="X167" s="7">
        <f t="shared" si="45"/>
        <v>-10209.040000000001</v>
      </c>
      <c r="Y167" s="2"/>
      <c r="Z167" s="6">
        <f t="shared" si="46"/>
        <v>-0.61377965703264648</v>
      </c>
    </row>
    <row r="168" spans="1:26" s="29" customFormat="1" outlineLevel="1" collapsed="1" x14ac:dyDescent="0.3">
      <c r="A168" s="28"/>
      <c r="B168" s="14" t="str">
        <f>CONCATENATE("     ","Bad Debts/Over/Short                              ")</f>
        <v xml:space="preserve">     Bad Debts/Over/Short                              </v>
      </c>
      <c r="C168" s="14"/>
      <c r="D168" s="1">
        <f>SUM(OSRRefD22_3x_0)</f>
        <v>-2.2799999999999998</v>
      </c>
      <c r="E168" s="1"/>
      <c r="F168" s="5">
        <f t="shared" si="39"/>
        <v>-2.5018338826413206E-6</v>
      </c>
      <c r="G168" s="1"/>
      <c r="H168" s="1">
        <f>SUM(OSRRefH22_3x_0)</f>
        <v>1872.1</v>
      </c>
      <c r="I168" s="1"/>
      <c r="J168" s="5">
        <f t="shared" si="40"/>
        <v>1.4312521088243337E-3</v>
      </c>
      <c r="K168" s="1"/>
      <c r="L168" s="1">
        <f t="shared" si="41"/>
        <v>-1874.3799999999999</v>
      </c>
      <c r="M168" s="1"/>
      <c r="N168" s="5">
        <f t="shared" si="42"/>
        <v>-1.0012178836600609</v>
      </c>
      <c r="O168" s="14"/>
      <c r="P168" s="1">
        <f>SUM(OSRRefP22_3x_0)</f>
        <v>150.78</v>
      </c>
      <c r="Q168" s="1"/>
      <c r="R168" s="5">
        <f t="shared" si="43"/>
        <v>2.7220971287583789E-5</v>
      </c>
      <c r="S168" s="1"/>
      <c r="T168" s="1">
        <f>SUM(OSRRefT22_3x_0)</f>
        <v>1918.06</v>
      </c>
      <c r="U168" s="1"/>
      <c r="V168" s="5">
        <f t="shared" si="44"/>
        <v>3.6313312760421546E-4</v>
      </c>
      <c r="W168" s="1"/>
      <c r="X168" s="1">
        <f t="shared" si="45"/>
        <v>-1767.28</v>
      </c>
      <c r="Y168" s="1"/>
      <c r="Z168" s="5">
        <f t="shared" si="46"/>
        <v>-0.92138932045921396</v>
      </c>
    </row>
    <row r="169" spans="1:26" s="24" customFormat="1" hidden="1" outlineLevel="2" x14ac:dyDescent="0.3">
      <c r="A169" s="27"/>
      <c r="B169" s="11" t="str">
        <f>CONCATENATE("          ", "6272", " - ", "CASH (OVER/SHORT)")</f>
        <v xml:space="preserve">          6272 - CASH (OVER/SHORT)</v>
      </c>
      <c r="C169" s="11"/>
      <c r="D169" s="7">
        <v>-2.2799999999999998</v>
      </c>
      <c r="E169" s="2"/>
      <c r="F169" s="6">
        <f t="shared" si="39"/>
        <v>-2.5018338826413206E-6</v>
      </c>
      <c r="G169" s="2"/>
      <c r="H169" s="7">
        <v>-124.68</v>
      </c>
      <c r="I169" s="2"/>
      <c r="J169" s="6">
        <f t="shared" si="40"/>
        <v>-9.5319968446246428E-5</v>
      </c>
      <c r="K169" s="2"/>
      <c r="L169" s="7">
        <f t="shared" si="41"/>
        <v>122.4</v>
      </c>
      <c r="M169" s="2"/>
      <c r="N169" s="6">
        <f t="shared" si="42"/>
        <v>-0.98171318575553412</v>
      </c>
      <c r="O169" s="11"/>
      <c r="P169" s="7">
        <v>150.78</v>
      </c>
      <c r="Q169" s="2"/>
      <c r="R169" s="6">
        <f t="shared" si="43"/>
        <v>2.7220971287583789E-5</v>
      </c>
      <c r="S169" s="2"/>
      <c r="T169" s="7">
        <v>-78.72</v>
      </c>
      <c r="U169" s="2"/>
      <c r="V169" s="6">
        <f t="shared" si="44"/>
        <v>-1.4903516993735255E-5</v>
      </c>
      <c r="W169" s="2"/>
      <c r="X169" s="7">
        <f t="shared" si="45"/>
        <v>229.5</v>
      </c>
      <c r="Y169" s="2"/>
      <c r="Z169" s="6">
        <f t="shared" si="46"/>
        <v>-2.9153963414634148</v>
      </c>
    </row>
    <row r="170" spans="1:26" s="24" customFormat="1" hidden="1" outlineLevel="2" x14ac:dyDescent="0.3">
      <c r="A170" s="27"/>
      <c r="B170" s="11" t="str">
        <f>CONCATENATE("          ", "6342", " - ", "BAD DEBT")</f>
        <v xml:space="preserve">          6342 - BAD DEBT</v>
      </c>
      <c r="C170" s="11"/>
      <c r="D170" s="7"/>
      <c r="E170" s="2"/>
      <c r="F170" s="6">
        <f t="shared" si="39"/>
        <v>0</v>
      </c>
      <c r="G170" s="2"/>
      <c r="H170" s="7">
        <v>1996.78</v>
      </c>
      <c r="I170" s="2"/>
      <c r="J170" s="6">
        <f t="shared" si="40"/>
        <v>1.52657207727058E-3</v>
      </c>
      <c r="K170" s="2"/>
      <c r="L170" s="7">
        <f t="shared" si="41"/>
        <v>-1996.78</v>
      </c>
      <c r="M170" s="2"/>
      <c r="N170" s="6">
        <f t="shared" si="42"/>
        <v>-1</v>
      </c>
      <c r="O170" s="11"/>
      <c r="P170" s="7"/>
      <c r="Q170" s="2"/>
      <c r="R170" s="6">
        <f t="shared" si="43"/>
        <v>0</v>
      </c>
      <c r="S170" s="2"/>
      <c r="T170" s="7">
        <v>1996.78</v>
      </c>
      <c r="U170" s="2"/>
      <c r="V170" s="6">
        <f t="shared" si="44"/>
        <v>3.7803664459795075E-4</v>
      </c>
      <c r="W170" s="2"/>
      <c r="X170" s="7">
        <f t="shared" si="45"/>
        <v>-1996.78</v>
      </c>
      <c r="Y170" s="2"/>
      <c r="Z170" s="6">
        <f t="shared" si="46"/>
        <v>-1</v>
      </c>
    </row>
    <row r="171" spans="1:26" s="29" customFormat="1" outlineLevel="1" collapsed="1" x14ac:dyDescent="0.3">
      <c r="A171" s="28"/>
      <c r="B171" s="14" t="str">
        <f>CONCATENATE("     ","Bank/card Fees                                    ")</f>
        <v xml:space="preserve">     Bank/card Fees                                    </v>
      </c>
      <c r="C171" s="14"/>
      <c r="D171" s="1">
        <f>SUM(OSRRefD22_4x_0)</f>
        <v>12256.54</v>
      </c>
      <c r="E171" s="1"/>
      <c r="F171" s="5">
        <f t="shared" ref="F171:F175" si="47">IF(D$12=0,0,D171/D$12)</f>
        <v>1.3449046954363445E-2</v>
      </c>
      <c r="G171" s="1"/>
      <c r="H171" s="1">
        <f>SUM(OSRRefH22_4x_0)</f>
        <v>14947.88</v>
      </c>
      <c r="I171" s="1"/>
      <c r="J171" s="5">
        <f t="shared" ref="J171:J175" si="48">IF(H$12=0,0,H171/H$12)</f>
        <v>1.1427907041532546E-2</v>
      </c>
      <c r="K171" s="1"/>
      <c r="L171" s="1">
        <f t="shared" ref="L171:L175" si="49">+D171-H171</f>
        <v>-2691.3399999999983</v>
      </c>
      <c r="M171" s="1"/>
      <c r="N171" s="5">
        <f t="shared" ref="N171:N175" si="50">IF(H171=0,0,L171/H171)</f>
        <v>-0.18004827440412946</v>
      </c>
      <c r="O171" s="14"/>
      <c r="P171" s="1">
        <f>SUM(OSRRefP22_4x_0)</f>
        <v>79623.13</v>
      </c>
      <c r="Q171" s="1"/>
      <c r="R171" s="5">
        <f t="shared" ref="R171:R175" si="51">IF(P$12=0,0,P171/P$12)</f>
        <v>1.437471107280509E-2</v>
      </c>
      <c r="S171" s="1"/>
      <c r="T171" s="1">
        <f>SUM(OSRRefT22_4x_0)</f>
        <v>61744.66</v>
      </c>
      <c r="U171" s="1"/>
      <c r="V171" s="5">
        <f t="shared" ref="V171:V175" si="52">IF(T$12=0,0,T171/T$12)</f>
        <v>1.1689692448963484E-2</v>
      </c>
      <c r="W171" s="1"/>
      <c r="X171" s="1">
        <f t="shared" ref="X171:X175" si="53">+P171-T171</f>
        <v>17878.47</v>
      </c>
      <c r="Y171" s="1"/>
      <c r="Z171" s="5">
        <f t="shared" ref="Z171:Z175" si="54">IF(T171=0,0,X171/T171)</f>
        <v>0.28955491859538945</v>
      </c>
    </row>
    <row r="172" spans="1:26" s="24" customFormat="1" hidden="1" outlineLevel="2" x14ac:dyDescent="0.3">
      <c r="A172" s="27"/>
      <c r="B172" s="11" t="str">
        <f>CONCATENATE("          ", "6381", " - ", "BANK/CREDIT CARD FEES")</f>
        <v xml:space="preserve">          6381 - BANK/CREDIT CARD FEES</v>
      </c>
      <c r="C172" s="11"/>
      <c r="D172" s="7">
        <v>12256.54</v>
      </c>
      <c r="E172" s="2"/>
      <c r="F172" s="6">
        <f t="shared" si="47"/>
        <v>1.3449046954363445E-2</v>
      </c>
      <c r="G172" s="2"/>
      <c r="H172" s="7">
        <v>14947.88</v>
      </c>
      <c r="I172" s="2"/>
      <c r="J172" s="6">
        <f t="shared" si="48"/>
        <v>1.1427907041532546E-2</v>
      </c>
      <c r="K172" s="2"/>
      <c r="L172" s="7">
        <f t="shared" si="49"/>
        <v>-2691.3399999999983</v>
      </c>
      <c r="M172" s="2"/>
      <c r="N172" s="6">
        <f t="shared" si="50"/>
        <v>-0.18004827440412946</v>
      </c>
      <c r="O172" s="11"/>
      <c r="P172" s="7">
        <v>79623.13</v>
      </c>
      <c r="Q172" s="2"/>
      <c r="R172" s="6">
        <f t="shared" si="51"/>
        <v>1.437471107280509E-2</v>
      </c>
      <c r="S172" s="2"/>
      <c r="T172" s="7">
        <v>61744.66</v>
      </c>
      <c r="U172" s="2"/>
      <c r="V172" s="6">
        <f t="shared" si="52"/>
        <v>1.1689692448963484E-2</v>
      </c>
      <c r="W172" s="2"/>
      <c r="X172" s="7">
        <f t="shared" si="53"/>
        <v>17878.47</v>
      </c>
      <c r="Y172" s="2"/>
      <c r="Z172" s="6">
        <f t="shared" si="54"/>
        <v>0.28955491859538945</v>
      </c>
    </row>
    <row r="173" spans="1:26" s="29" customFormat="1" outlineLevel="1" collapsed="1" x14ac:dyDescent="0.3">
      <c r="A173" s="28"/>
      <c r="B173" s="14" t="str">
        <f>CONCATENATE("     ","Depreciation                                      ")</f>
        <v xml:space="preserve">     Depreciation                                      </v>
      </c>
      <c r="C173" s="14"/>
      <c r="D173" s="1">
        <f>SUM(OSRRefD22_5x_0)</f>
        <v>28630.370000000003</v>
      </c>
      <c r="E173" s="1"/>
      <c r="F173" s="5">
        <f t="shared" si="47"/>
        <v>3.1415977955507719E-2</v>
      </c>
      <c r="G173" s="1"/>
      <c r="H173" s="1">
        <f>SUM(OSRRefH22_5x_0)</f>
        <v>31016.29</v>
      </c>
      <c r="I173" s="1"/>
      <c r="J173" s="5">
        <f t="shared" si="48"/>
        <v>2.3712478217193043E-2</v>
      </c>
      <c r="K173" s="1"/>
      <c r="L173" s="1">
        <f t="shared" si="49"/>
        <v>-2385.9199999999983</v>
      </c>
      <c r="M173" s="1"/>
      <c r="N173" s="5">
        <f t="shared" si="50"/>
        <v>-7.6924738580919833E-2</v>
      </c>
      <c r="O173" s="14"/>
      <c r="P173" s="1">
        <f>SUM(OSRRefP22_5x_0)</f>
        <v>214319.6</v>
      </c>
      <c r="Q173" s="1"/>
      <c r="R173" s="5">
        <f t="shared" si="51"/>
        <v>3.8692052513373411E-2</v>
      </c>
      <c r="S173" s="1"/>
      <c r="T173" s="1">
        <f>SUM(OSRRefT22_5x_0)</f>
        <v>217409.52000000002</v>
      </c>
      <c r="U173" s="1"/>
      <c r="V173" s="5">
        <f t="shared" si="52"/>
        <v>4.1160651370932735E-2</v>
      </c>
      <c r="W173" s="1"/>
      <c r="X173" s="1">
        <f t="shared" si="53"/>
        <v>-3089.9200000000128</v>
      </c>
      <c r="Y173" s="1"/>
      <c r="Z173" s="5">
        <f t="shared" si="54"/>
        <v>-1.4212441111134474E-2</v>
      </c>
    </row>
    <row r="174" spans="1:26" s="24" customFormat="1" hidden="1" outlineLevel="2" x14ac:dyDescent="0.3">
      <c r="A174" s="27"/>
      <c r="B174" s="11" t="str">
        <f>CONCATENATE("          ", "6321", " - ", "BUILDING DEPRECIATION")</f>
        <v xml:space="preserve">          6321 - BUILDING DEPRECIATION</v>
      </c>
      <c r="C174" s="11"/>
      <c r="D174" s="7">
        <v>14131.6</v>
      </c>
      <c r="E174" s="2"/>
      <c r="F174" s="6">
        <f t="shared" si="47"/>
        <v>1.5506541971900916E-2</v>
      </c>
      <c r="G174" s="2"/>
      <c r="H174" s="7">
        <v>16396.52</v>
      </c>
      <c r="I174" s="2"/>
      <c r="J174" s="6">
        <f t="shared" si="48"/>
        <v>1.2535416819283354E-2</v>
      </c>
      <c r="K174" s="2"/>
      <c r="L174" s="7">
        <f t="shared" si="49"/>
        <v>-2264.92</v>
      </c>
      <c r="M174" s="2"/>
      <c r="N174" s="6">
        <f t="shared" si="50"/>
        <v>-0.13813418944995645</v>
      </c>
      <c r="O174" s="11"/>
      <c r="P174" s="7">
        <v>112510.71</v>
      </c>
      <c r="Q174" s="2"/>
      <c r="R174" s="6">
        <f t="shared" si="51"/>
        <v>2.0312049386229384E-2</v>
      </c>
      <c r="S174" s="2"/>
      <c r="T174" s="7">
        <v>114775.64</v>
      </c>
      <c r="U174" s="2"/>
      <c r="V174" s="6">
        <f t="shared" si="52"/>
        <v>2.1729683704355181E-2</v>
      </c>
      <c r="W174" s="2"/>
      <c r="X174" s="7">
        <f t="shared" si="53"/>
        <v>-2264.929999999993</v>
      </c>
      <c r="Y174" s="2"/>
      <c r="Z174" s="6">
        <f t="shared" si="54"/>
        <v>-1.973354276220976E-2</v>
      </c>
    </row>
    <row r="175" spans="1:26" s="24" customFormat="1" hidden="1" outlineLevel="2" x14ac:dyDescent="0.3">
      <c r="A175" s="27"/>
      <c r="B175" s="11" t="str">
        <f>CONCATENATE("          ", "6322", " - ", "EQUIPMENT DEPRECIATION EXPENSE")</f>
        <v xml:space="preserve">          6322 - EQUIPMENT DEPRECIATION EXPENSE</v>
      </c>
      <c r="C175" s="11"/>
      <c r="D175" s="7">
        <v>14498.77</v>
      </c>
      <c r="E175" s="2"/>
      <c r="F175" s="6">
        <f t="shared" si="47"/>
        <v>1.59094359836068E-2</v>
      </c>
      <c r="G175" s="2"/>
      <c r="H175" s="7">
        <v>14619.77</v>
      </c>
      <c r="I175" s="2"/>
      <c r="J175" s="6">
        <f t="shared" si="48"/>
        <v>1.117706139790969E-2</v>
      </c>
      <c r="K175" s="2"/>
      <c r="L175" s="7">
        <f t="shared" si="49"/>
        <v>-121</v>
      </c>
      <c r="M175" s="2"/>
      <c r="N175" s="6">
        <f t="shared" si="50"/>
        <v>-8.2764639936195976E-3</v>
      </c>
      <c r="O175" s="11"/>
      <c r="P175" s="7">
        <v>101808.89</v>
      </c>
      <c r="Q175" s="2"/>
      <c r="R175" s="6">
        <f t="shared" si="51"/>
        <v>1.8380003127144027E-2</v>
      </c>
      <c r="S175" s="2"/>
      <c r="T175" s="7">
        <v>102633.88</v>
      </c>
      <c r="U175" s="2"/>
      <c r="V175" s="6">
        <f t="shared" si="52"/>
        <v>1.9430967666577554E-2</v>
      </c>
      <c r="W175" s="2"/>
      <c r="X175" s="7">
        <f t="shared" si="53"/>
        <v>-824.99000000000524</v>
      </c>
      <c r="Y175" s="2"/>
      <c r="Z175" s="6">
        <f t="shared" si="54"/>
        <v>-8.0381838823593652E-3</v>
      </c>
    </row>
    <row r="176" spans="1:26" s="29" customFormat="1" outlineLevel="1" collapsed="1" x14ac:dyDescent="0.3">
      <c r="A176" s="28"/>
      <c r="B176" s="14" t="str">
        <f>CONCATENATE("     ","Discounts and Markdowns                           ")</f>
        <v xml:space="preserve">     Discounts and Markdowns                           </v>
      </c>
      <c r="C176" s="14"/>
      <c r="D176" s="1">
        <f>SUM(OSRRefD22_6x_0)</f>
        <v>-1290.25</v>
      </c>
      <c r="E176" s="1"/>
      <c r="F176" s="5">
        <f t="shared" ref="F176:F178" si="55">IF(D$12=0,0,D176/D$12)</f>
        <v>-1.4157855995955983E-3</v>
      </c>
      <c r="G176" s="1"/>
      <c r="H176" s="1">
        <f>SUM(OSRRefH22_6x_0)</f>
        <v>-42.86</v>
      </c>
      <c r="I176" s="1"/>
      <c r="J176" s="5">
        <f t="shared" ref="J176:J178" si="56">IF(H$12=0,0,H176/H$12)</f>
        <v>-3.2767194799535782E-5</v>
      </c>
      <c r="K176" s="1"/>
      <c r="L176" s="1">
        <f t="shared" ref="L176:L178" si="57">+D176-H176</f>
        <v>-1247.3900000000001</v>
      </c>
      <c r="M176" s="1"/>
      <c r="N176" s="5">
        <f t="shared" ref="N176:N178" si="58">IF(H176=0,0,L176/H176)</f>
        <v>29.103826411572566</v>
      </c>
      <c r="O176" s="14"/>
      <c r="P176" s="1">
        <f>SUM(OSRRefP22_6x_0)</f>
        <v>2064.5499999999997</v>
      </c>
      <c r="Q176" s="1"/>
      <c r="R176" s="5">
        <f t="shared" ref="R176:R178" si="59">IF(P$12=0,0,P176/P$12)</f>
        <v>3.7272221960327038E-4</v>
      </c>
      <c r="S176" s="1"/>
      <c r="T176" s="1">
        <f>SUM(OSRRefT22_6x_0)</f>
        <v>-42.86</v>
      </c>
      <c r="U176" s="1"/>
      <c r="V176" s="5">
        <f t="shared" ref="V176:V178" si="60">IF(T$12=0,0,T176/T$12)</f>
        <v>-8.1143894607659178E-6</v>
      </c>
      <c r="W176" s="1"/>
      <c r="X176" s="1">
        <f t="shared" ref="X176:X178" si="61">+P176-T176</f>
        <v>2107.41</v>
      </c>
      <c r="Y176" s="1"/>
      <c r="Z176" s="5">
        <f t="shared" ref="Z176:Z178" si="62">IF(T176=0,0,X176/T176)</f>
        <v>-49.169622025198315</v>
      </c>
    </row>
    <row r="177" spans="1:26" s="24" customFormat="1" hidden="1" outlineLevel="2" x14ac:dyDescent="0.3">
      <c r="A177" s="27"/>
      <c r="B177" s="11" t="str">
        <f>CONCATENATE("          ", "6382", " - ", "DISCOUNTS/MARK DOWNS")</f>
        <v xml:space="preserve">          6382 - DISCOUNTS/MARK DOWNS</v>
      </c>
      <c r="C177" s="11"/>
      <c r="D177" s="7">
        <v>-1238.6500000000001</v>
      </c>
      <c r="E177" s="2"/>
      <c r="F177" s="6">
        <f t="shared" si="55"/>
        <v>-1.3591651485674002E-3</v>
      </c>
      <c r="G177" s="2"/>
      <c r="H177" s="7">
        <v>0</v>
      </c>
      <c r="I177" s="2"/>
      <c r="J177" s="6">
        <f t="shared" si="56"/>
        <v>0</v>
      </c>
      <c r="K177" s="2"/>
      <c r="L177" s="7">
        <f t="shared" si="57"/>
        <v>-1238.6500000000001</v>
      </c>
      <c r="M177" s="2"/>
      <c r="N177" s="6">
        <f t="shared" si="58"/>
        <v>0</v>
      </c>
      <c r="O177" s="11"/>
      <c r="P177" s="7">
        <v>2171.35</v>
      </c>
      <c r="Q177" s="2"/>
      <c r="R177" s="6">
        <f t="shared" si="59"/>
        <v>3.9200328959606748E-4</v>
      </c>
      <c r="S177" s="2"/>
      <c r="T177" s="7">
        <v>0</v>
      </c>
      <c r="U177" s="2"/>
      <c r="V177" s="6">
        <f t="shared" si="60"/>
        <v>0</v>
      </c>
      <c r="W177" s="2"/>
      <c r="X177" s="7">
        <f t="shared" si="61"/>
        <v>2171.35</v>
      </c>
      <c r="Y177" s="2"/>
      <c r="Z177" s="6">
        <f t="shared" si="62"/>
        <v>0</v>
      </c>
    </row>
    <row r="178" spans="1:26" s="24" customFormat="1" hidden="1" outlineLevel="2" x14ac:dyDescent="0.3">
      <c r="A178" s="27"/>
      <c r="B178" s="11" t="str">
        <f>CONCATENATE("          ", "9175", " - ", "EARNED DISCOUNTS")</f>
        <v xml:space="preserve">          9175 - EARNED DISCOUNTS</v>
      </c>
      <c r="C178" s="11"/>
      <c r="D178" s="7">
        <v>-51.6</v>
      </c>
      <c r="E178" s="2"/>
      <c r="F178" s="6">
        <f t="shared" si="55"/>
        <v>-5.6620451028198313E-5</v>
      </c>
      <c r="G178" s="2"/>
      <c r="H178" s="7">
        <v>-42.86</v>
      </c>
      <c r="I178" s="2"/>
      <c r="J178" s="6">
        <f t="shared" si="56"/>
        <v>-3.2767194799535782E-5</v>
      </c>
      <c r="K178" s="2"/>
      <c r="L178" s="7">
        <f t="shared" si="57"/>
        <v>-8.740000000000002</v>
      </c>
      <c r="M178" s="2"/>
      <c r="N178" s="6">
        <f t="shared" si="58"/>
        <v>0.20391973868408778</v>
      </c>
      <c r="O178" s="11"/>
      <c r="P178" s="7">
        <v>-106.8</v>
      </c>
      <c r="Q178" s="2"/>
      <c r="R178" s="6">
        <f t="shared" si="59"/>
        <v>-1.9281069992797112E-5</v>
      </c>
      <c r="S178" s="2"/>
      <c r="T178" s="7">
        <v>-42.86</v>
      </c>
      <c r="U178" s="2"/>
      <c r="V178" s="6">
        <f t="shared" si="60"/>
        <v>-8.1143894607659178E-6</v>
      </c>
      <c r="W178" s="2"/>
      <c r="X178" s="7">
        <f t="shared" si="61"/>
        <v>-63.94</v>
      </c>
      <c r="Y178" s="2"/>
      <c r="Z178" s="6">
        <f t="shared" si="62"/>
        <v>1.4918338777414839</v>
      </c>
    </row>
    <row r="179" spans="1:26" s="29" customFormat="1" outlineLevel="1" collapsed="1" x14ac:dyDescent="0.3">
      <c r="A179" s="28"/>
      <c r="B179" s="14" t="str">
        <f>CONCATENATE("     ","Donations                                         ")</f>
        <v xml:space="preserve">     Donations                                         </v>
      </c>
      <c r="C179" s="14"/>
      <c r="D179" s="1">
        <f>SUM(OSRRefD22_7x_0)</f>
        <v>0</v>
      </c>
      <c r="E179" s="1"/>
      <c r="F179" s="5">
        <f t="shared" ref="F179:F187" si="63">IF(D$12=0,0,D179/D$12)</f>
        <v>0</v>
      </c>
      <c r="G179" s="1"/>
      <c r="H179" s="1">
        <f>SUM(OSRRefH22_7x_0)</f>
        <v>0</v>
      </c>
      <c r="I179" s="1"/>
      <c r="J179" s="5">
        <f t="shared" ref="J179:J187" si="64">IF(H$12=0,0,H179/H$12)</f>
        <v>0</v>
      </c>
      <c r="K179" s="1"/>
      <c r="L179" s="1">
        <f t="shared" ref="L179:L187" si="65">+D179-H179</f>
        <v>0</v>
      </c>
      <c r="M179" s="1"/>
      <c r="N179" s="5">
        <f t="shared" ref="N179:N187" si="66">IF(H179=0,0,L179/H179)</f>
        <v>0</v>
      </c>
      <c r="O179" s="14"/>
      <c r="P179" s="1">
        <f>SUM(OSRRefP22_7x_0)</f>
        <v>2820.22</v>
      </c>
      <c r="Q179" s="1"/>
      <c r="R179" s="5">
        <f t="shared" ref="R179:R187" si="67">IF(P$12=0,0,P179/P$12)</f>
        <v>5.0914662186410365E-4</v>
      </c>
      <c r="S179" s="1"/>
      <c r="T179" s="1">
        <f>SUM(OSRRefT22_7x_0)</f>
        <v>0</v>
      </c>
      <c r="U179" s="1"/>
      <c r="V179" s="5">
        <f t="shared" ref="V179:V187" si="68">IF(T$12=0,0,T179/T$12)</f>
        <v>0</v>
      </c>
      <c r="W179" s="1"/>
      <c r="X179" s="1">
        <f t="shared" ref="X179:X187" si="69">+P179-T179</f>
        <v>2820.22</v>
      </c>
      <c r="Y179" s="1"/>
      <c r="Z179" s="5">
        <f t="shared" ref="Z179:Z187" si="70">IF(T179=0,0,X179/T179)</f>
        <v>0</v>
      </c>
    </row>
    <row r="180" spans="1:26" s="24" customFormat="1" hidden="1" outlineLevel="2" x14ac:dyDescent="0.3">
      <c r="A180" s="27"/>
      <c r="B180" s="11" t="str">
        <f>CONCATENATE("          ", "6399", " - ", "DONATION-ON CAMPUS")</f>
        <v xml:space="preserve">          6399 - DONATION-ON CAMPUS</v>
      </c>
      <c r="C180" s="11"/>
      <c r="D180" s="7"/>
      <c r="E180" s="2"/>
      <c r="F180" s="6">
        <f t="shared" si="63"/>
        <v>0</v>
      </c>
      <c r="G180" s="2"/>
      <c r="H180" s="7"/>
      <c r="I180" s="2"/>
      <c r="J180" s="6">
        <f t="shared" si="64"/>
        <v>0</v>
      </c>
      <c r="K180" s="2"/>
      <c r="L180" s="7">
        <f t="shared" si="65"/>
        <v>0</v>
      </c>
      <c r="M180" s="2"/>
      <c r="N180" s="6">
        <f t="shared" si="66"/>
        <v>0</v>
      </c>
      <c r="O180" s="11"/>
      <c r="P180" s="7">
        <v>2820.22</v>
      </c>
      <c r="Q180" s="2"/>
      <c r="R180" s="6">
        <f t="shared" si="67"/>
        <v>5.0914662186410365E-4</v>
      </c>
      <c r="S180" s="2"/>
      <c r="T180" s="7"/>
      <c r="U180" s="2"/>
      <c r="V180" s="6">
        <f t="shared" si="68"/>
        <v>0</v>
      </c>
      <c r="W180" s="2"/>
      <c r="X180" s="7">
        <f t="shared" si="69"/>
        <v>2820.22</v>
      </c>
      <c r="Y180" s="2"/>
      <c r="Z180" s="6">
        <f t="shared" si="70"/>
        <v>0</v>
      </c>
    </row>
    <row r="181" spans="1:26" s="29" customFormat="1" outlineLevel="1" collapsed="1" x14ac:dyDescent="0.3">
      <c r="A181" s="28"/>
      <c r="B181" s="14" t="str">
        <f>CONCATENATE("     ","Employees' Appreciation                           ")</f>
        <v xml:space="preserve">     Employees' Appreciation                           </v>
      </c>
      <c r="C181" s="14"/>
      <c r="D181" s="1">
        <f>SUM(OSRRefD22_8x_0)</f>
        <v>1421.38</v>
      </c>
      <c r="E181" s="1"/>
      <c r="F181" s="5">
        <f t="shared" si="63"/>
        <v>1.5596739667143513E-3</v>
      </c>
      <c r="G181" s="1"/>
      <c r="H181" s="1">
        <f>SUM(OSRRefH22_8x_0)</f>
        <v>78.33</v>
      </c>
      <c r="I181" s="1"/>
      <c r="J181" s="5">
        <f t="shared" si="64"/>
        <v>5.988460962780303E-5</v>
      </c>
      <c r="K181" s="1"/>
      <c r="L181" s="1">
        <f t="shared" si="65"/>
        <v>1343.0500000000002</v>
      </c>
      <c r="M181" s="1"/>
      <c r="N181" s="5">
        <f t="shared" si="66"/>
        <v>17.146048768032685</v>
      </c>
      <c r="O181" s="14"/>
      <c r="P181" s="1">
        <f>SUM(OSRRefP22_8x_0)</f>
        <v>4245.1899999999996</v>
      </c>
      <c r="Q181" s="1"/>
      <c r="R181" s="5">
        <f t="shared" si="67"/>
        <v>7.6640267343373002E-4</v>
      </c>
      <c r="S181" s="1"/>
      <c r="T181" s="1">
        <f>SUM(OSRRefT22_8x_0)</f>
        <v>186.03</v>
      </c>
      <c r="U181" s="1"/>
      <c r="V181" s="5">
        <f t="shared" si="68"/>
        <v>3.5219782346856829E-5</v>
      </c>
      <c r="W181" s="1"/>
      <c r="X181" s="1">
        <f t="shared" si="69"/>
        <v>4059.1599999999994</v>
      </c>
      <c r="Y181" s="1"/>
      <c r="Z181" s="5">
        <f t="shared" si="70"/>
        <v>21.819921518034722</v>
      </c>
    </row>
    <row r="182" spans="1:26" s="24" customFormat="1" hidden="1" outlineLevel="2" x14ac:dyDescent="0.3">
      <c r="A182" s="27"/>
      <c r="B182" s="11" t="str">
        <f>CONCATENATE("          ", "6277", " - ", "EMPLOYEE APPRECIATION")</f>
        <v xml:space="preserve">          6277 - EMPLOYEE APPRECIATION</v>
      </c>
      <c r="C182" s="11"/>
      <c r="D182" s="7">
        <v>1421.38</v>
      </c>
      <c r="E182" s="2"/>
      <c r="F182" s="6">
        <f t="shared" si="63"/>
        <v>1.5596739667143513E-3</v>
      </c>
      <c r="G182" s="2"/>
      <c r="H182" s="7">
        <v>78.33</v>
      </c>
      <c r="I182" s="2"/>
      <c r="J182" s="6">
        <f t="shared" si="64"/>
        <v>5.988460962780303E-5</v>
      </c>
      <c r="K182" s="2"/>
      <c r="L182" s="7">
        <f t="shared" si="65"/>
        <v>1343.0500000000002</v>
      </c>
      <c r="M182" s="2"/>
      <c r="N182" s="6">
        <f t="shared" si="66"/>
        <v>17.146048768032685</v>
      </c>
      <c r="O182" s="11"/>
      <c r="P182" s="7">
        <v>4245.1899999999996</v>
      </c>
      <c r="Q182" s="2"/>
      <c r="R182" s="6">
        <f t="shared" si="67"/>
        <v>7.6640267343373002E-4</v>
      </c>
      <c r="S182" s="2"/>
      <c r="T182" s="7">
        <v>186.03</v>
      </c>
      <c r="U182" s="2"/>
      <c r="V182" s="6">
        <f t="shared" si="68"/>
        <v>3.5219782346856829E-5</v>
      </c>
      <c r="W182" s="2"/>
      <c r="X182" s="7">
        <f t="shared" si="69"/>
        <v>4059.1599999999994</v>
      </c>
      <c r="Y182" s="2"/>
      <c r="Z182" s="6">
        <f t="shared" si="70"/>
        <v>21.819921518034722</v>
      </c>
    </row>
    <row r="183" spans="1:26" s="29" customFormat="1" outlineLevel="1" collapsed="1" x14ac:dyDescent="0.3">
      <c r="A183" s="28"/>
      <c r="B183" s="14" t="str">
        <f>CONCATENATE("     ","Equipment Rental                                  ")</f>
        <v xml:space="preserve">     Equipment Rental                                  </v>
      </c>
      <c r="C183" s="14"/>
      <c r="D183" s="1">
        <f>SUM(OSRRefD22_9x_0)</f>
        <v>1479.42</v>
      </c>
      <c r="E183" s="1"/>
      <c r="F183" s="5">
        <f t="shared" si="63"/>
        <v>1.6233610011654486E-3</v>
      </c>
      <c r="G183" s="1"/>
      <c r="H183" s="1">
        <f>SUM(OSRRefH22_9x_0)</f>
        <v>1388.16</v>
      </c>
      <c r="I183" s="1"/>
      <c r="J183" s="5">
        <f t="shared" si="64"/>
        <v>1.0612717949818851E-3</v>
      </c>
      <c r="K183" s="1"/>
      <c r="L183" s="1">
        <f t="shared" si="65"/>
        <v>91.259999999999991</v>
      </c>
      <c r="M183" s="1"/>
      <c r="N183" s="5">
        <f t="shared" si="66"/>
        <v>6.5741701244813266E-2</v>
      </c>
      <c r="O183" s="14"/>
      <c r="P183" s="1">
        <f>SUM(OSRRefP22_9x_0)</f>
        <v>11309.94</v>
      </c>
      <c r="Q183" s="1"/>
      <c r="R183" s="5">
        <f t="shared" si="67"/>
        <v>2.0418328160518332E-3</v>
      </c>
      <c r="S183" s="1"/>
      <c r="T183" s="1">
        <f>SUM(OSRRefT22_9x_0)</f>
        <v>10364.9</v>
      </c>
      <c r="U183" s="1"/>
      <c r="V183" s="5">
        <f t="shared" si="68"/>
        <v>1.9623153364883962E-3</v>
      </c>
      <c r="W183" s="1"/>
      <c r="X183" s="1">
        <f t="shared" si="69"/>
        <v>945.04000000000087</v>
      </c>
      <c r="Y183" s="1"/>
      <c r="Z183" s="5">
        <f t="shared" si="70"/>
        <v>9.1176952985557114E-2</v>
      </c>
    </row>
    <row r="184" spans="1:26" s="24" customFormat="1" hidden="1" outlineLevel="2" x14ac:dyDescent="0.3">
      <c r="A184" s="27"/>
      <c r="B184" s="11" t="str">
        <f>CONCATENATE("          ", "6351", " - ", "EQUIPMENT RENTAL")</f>
        <v xml:space="preserve">          6351 - EQUIPMENT RENTAL</v>
      </c>
      <c r="C184" s="11"/>
      <c r="D184" s="7">
        <v>1479.42</v>
      </c>
      <c r="E184" s="2"/>
      <c r="F184" s="6">
        <f t="shared" si="63"/>
        <v>1.6233610011654486E-3</v>
      </c>
      <c r="G184" s="2"/>
      <c r="H184" s="7">
        <v>1388.16</v>
      </c>
      <c r="I184" s="2"/>
      <c r="J184" s="6">
        <f t="shared" si="64"/>
        <v>1.0612717949818851E-3</v>
      </c>
      <c r="K184" s="2"/>
      <c r="L184" s="7">
        <f t="shared" si="65"/>
        <v>91.259999999999991</v>
      </c>
      <c r="M184" s="2"/>
      <c r="N184" s="6">
        <f t="shared" si="66"/>
        <v>6.5741701244813266E-2</v>
      </c>
      <c r="O184" s="11"/>
      <c r="P184" s="7">
        <v>11309.94</v>
      </c>
      <c r="Q184" s="2"/>
      <c r="R184" s="6">
        <f t="shared" si="67"/>
        <v>2.0418328160518332E-3</v>
      </c>
      <c r="S184" s="2"/>
      <c r="T184" s="7">
        <v>10364.9</v>
      </c>
      <c r="U184" s="2"/>
      <c r="V184" s="6">
        <f t="shared" si="68"/>
        <v>1.9623153364883962E-3</v>
      </c>
      <c r="W184" s="2"/>
      <c r="X184" s="7">
        <f t="shared" si="69"/>
        <v>945.04000000000087</v>
      </c>
      <c r="Y184" s="2"/>
      <c r="Z184" s="6">
        <f t="shared" si="70"/>
        <v>9.1176952985557114E-2</v>
      </c>
    </row>
    <row r="185" spans="1:26" s="29" customFormat="1" outlineLevel="1" collapsed="1" x14ac:dyDescent="0.3">
      <c r="A185" s="28"/>
      <c r="B185" s="14" t="str">
        <f>CONCATENATE("     ","Freight out/Postage                               ")</f>
        <v xml:space="preserve">     Freight out/Postage                               </v>
      </c>
      <c r="C185" s="14"/>
      <c r="D185" s="1">
        <f>SUM(OSRRefD22_10x_0)</f>
        <v>-7280.8900000000012</v>
      </c>
      <c r="E185" s="1"/>
      <c r="F185" s="5">
        <f t="shared" si="63"/>
        <v>-7.9892882885019157E-3</v>
      </c>
      <c r="G185" s="1"/>
      <c r="H185" s="1">
        <f>SUM(OSRRefH22_10x_0)</f>
        <v>-21647.59</v>
      </c>
      <c r="I185" s="1"/>
      <c r="J185" s="5">
        <f t="shared" si="64"/>
        <v>-1.6549948634402307E-2</v>
      </c>
      <c r="K185" s="1"/>
      <c r="L185" s="1">
        <f t="shared" si="65"/>
        <v>14366.699999999999</v>
      </c>
      <c r="M185" s="1"/>
      <c r="N185" s="5">
        <f t="shared" si="66"/>
        <v>-0.6636627911005335</v>
      </c>
      <c r="O185" s="14"/>
      <c r="P185" s="1">
        <f>SUM(OSRRefP22_10x_0)</f>
        <v>-39325.969999999987</v>
      </c>
      <c r="Q185" s="1"/>
      <c r="R185" s="5">
        <f t="shared" si="67"/>
        <v>-7.0996889522906299E-3</v>
      </c>
      <c r="S185" s="1"/>
      <c r="T185" s="1">
        <f>SUM(OSRRefT22_10x_0)</f>
        <v>-35825.279999999999</v>
      </c>
      <c r="U185" s="1"/>
      <c r="V185" s="5">
        <f t="shared" si="68"/>
        <v>-6.7825542338074661E-3</v>
      </c>
      <c r="W185" s="1"/>
      <c r="X185" s="1">
        <f t="shared" si="69"/>
        <v>-3500.6899999999878</v>
      </c>
      <c r="Y185" s="1"/>
      <c r="Z185" s="5">
        <f t="shared" si="70"/>
        <v>9.7715635439555193E-2</v>
      </c>
    </row>
    <row r="186" spans="1:26" s="24" customFormat="1" hidden="1" outlineLevel="2" x14ac:dyDescent="0.3">
      <c r="A186" s="27"/>
      <c r="B186" s="11" t="str">
        <f>CONCATENATE("          ", "6305", " - ", "FREIGHT OUT")</f>
        <v xml:space="preserve">          6305 - FREIGHT OUT</v>
      </c>
      <c r="C186" s="11"/>
      <c r="D186" s="7">
        <v>16037.19</v>
      </c>
      <c r="E186" s="2"/>
      <c r="F186" s="6">
        <f t="shared" si="63"/>
        <v>1.7597537422963407E-2</v>
      </c>
      <c r="G186" s="2"/>
      <c r="H186" s="7">
        <v>18838.63</v>
      </c>
      <c r="I186" s="2"/>
      <c r="J186" s="6">
        <f t="shared" si="64"/>
        <v>1.4402451212468009E-2</v>
      </c>
      <c r="K186" s="2"/>
      <c r="L186" s="7">
        <f t="shared" si="65"/>
        <v>-2801.4400000000005</v>
      </c>
      <c r="M186" s="2"/>
      <c r="N186" s="6">
        <f t="shared" si="66"/>
        <v>-0.14870720429245654</v>
      </c>
      <c r="O186" s="11"/>
      <c r="P186" s="7">
        <v>94258.58</v>
      </c>
      <c r="Q186" s="2"/>
      <c r="R186" s="6">
        <f t="shared" si="67"/>
        <v>1.7016912719116723E-2</v>
      </c>
      <c r="S186" s="2"/>
      <c r="T186" s="7">
        <v>136470.71</v>
      </c>
      <c r="U186" s="2"/>
      <c r="V186" s="6">
        <f t="shared" si="68"/>
        <v>2.5837062317481146E-2</v>
      </c>
      <c r="W186" s="2"/>
      <c r="X186" s="7">
        <f t="shared" si="69"/>
        <v>-42212.12999999999</v>
      </c>
      <c r="Y186" s="2"/>
      <c r="Z186" s="6">
        <f t="shared" si="70"/>
        <v>-0.30931274557009336</v>
      </c>
    </row>
    <row r="187" spans="1:26" s="24" customFormat="1" hidden="1" outlineLevel="2" x14ac:dyDescent="0.3">
      <c r="A187" s="27"/>
      <c r="B187" s="11" t="str">
        <f>CONCATENATE("          ", "6307", " - ", "POSTAGE")</f>
        <v xml:space="preserve">          6307 - POSTAGE</v>
      </c>
      <c r="C187" s="11"/>
      <c r="D187" s="7">
        <v>-23318.080000000002</v>
      </c>
      <c r="E187" s="2"/>
      <c r="F187" s="6">
        <f t="shared" si="63"/>
        <v>-2.5586825711465321E-2</v>
      </c>
      <c r="G187" s="2"/>
      <c r="H187" s="7">
        <v>-40486.22</v>
      </c>
      <c r="I187" s="2"/>
      <c r="J187" s="6">
        <f t="shared" si="64"/>
        <v>-3.0952399846870315E-2</v>
      </c>
      <c r="K187" s="2"/>
      <c r="L187" s="7">
        <f t="shared" si="65"/>
        <v>17168.14</v>
      </c>
      <c r="M187" s="2"/>
      <c r="N187" s="6">
        <f t="shared" si="66"/>
        <v>-0.42404897271219688</v>
      </c>
      <c r="O187" s="11"/>
      <c r="P187" s="7">
        <v>-133584.54999999999</v>
      </c>
      <c r="Q187" s="2"/>
      <c r="R187" s="6">
        <f t="shared" si="67"/>
        <v>-2.4116601671407355E-2</v>
      </c>
      <c r="S187" s="2"/>
      <c r="T187" s="7">
        <v>-172295.99</v>
      </c>
      <c r="U187" s="2"/>
      <c r="V187" s="6">
        <f t="shared" si="68"/>
        <v>-3.2619616551288609E-2</v>
      </c>
      <c r="W187" s="2"/>
      <c r="X187" s="7">
        <f t="shared" si="69"/>
        <v>38711.440000000002</v>
      </c>
      <c r="Y187" s="2"/>
      <c r="Z187" s="6">
        <f t="shared" si="70"/>
        <v>-0.22467986631609943</v>
      </c>
    </row>
    <row r="188" spans="1:26" s="29" customFormat="1" outlineLevel="1" collapsed="1" x14ac:dyDescent="0.3">
      <c r="A188" s="28"/>
      <c r="B188" s="14" t="str">
        <f>CONCATENATE("     ","General                                           ")</f>
        <v xml:space="preserve">     General                                           </v>
      </c>
      <c r="C188" s="14"/>
      <c r="D188" s="1">
        <f>SUM(OSRRefD22_11x_0)</f>
        <v>0</v>
      </c>
      <c r="E188" s="1"/>
      <c r="F188" s="5">
        <f t="shared" ref="F188:F194" si="71">IF(D$12=0,0,D188/D$12)</f>
        <v>0</v>
      </c>
      <c r="G188" s="1"/>
      <c r="H188" s="1">
        <f>SUM(OSRRefH22_11x_0)</f>
        <v>223.63</v>
      </c>
      <c r="I188" s="1"/>
      <c r="J188" s="5">
        <f t="shared" ref="J188:J194" si="72">IF(H$12=0,0,H188/H$12)</f>
        <v>1.709689167760193E-4</v>
      </c>
      <c r="K188" s="1"/>
      <c r="L188" s="1">
        <f t="shared" ref="L188:L194" si="73">+D188-H188</f>
        <v>-223.63</v>
      </c>
      <c r="M188" s="1"/>
      <c r="N188" s="5">
        <f t="shared" ref="N188:N194" si="74">IF(H188=0,0,L188/H188)</f>
        <v>-1</v>
      </c>
      <c r="O188" s="14"/>
      <c r="P188" s="1">
        <f>SUM(OSRRefP22_11x_0)</f>
        <v>4331.1899999999996</v>
      </c>
      <c r="Q188" s="1"/>
      <c r="R188" s="5">
        <f t="shared" ref="R188:R194" si="75">IF(P$12=0,0,P188/P$12)</f>
        <v>7.8192862867137568E-4</v>
      </c>
      <c r="S188" s="1"/>
      <c r="T188" s="1">
        <f>SUM(OSRRefT22_11x_0)</f>
        <v>2483.85</v>
      </c>
      <c r="U188" s="1"/>
      <c r="V188" s="5">
        <f t="shared" ref="V188:V194" si="76">IF(T$12=0,0,T188/T$12)</f>
        <v>4.7025026276536222E-4</v>
      </c>
      <c r="W188" s="1"/>
      <c r="X188" s="1">
        <f t="shared" ref="X188:X194" si="77">+P188-T188</f>
        <v>1847.3399999999997</v>
      </c>
      <c r="Y188" s="1"/>
      <c r="Z188" s="5">
        <f t="shared" ref="Z188:Z194" si="78">IF(T188=0,0,X188/T188)</f>
        <v>0.74374056404372235</v>
      </c>
    </row>
    <row r="189" spans="1:26" s="24" customFormat="1" hidden="1" outlineLevel="2" x14ac:dyDescent="0.3">
      <c r="A189" s="27"/>
      <c r="B189" s="11" t="str">
        <f>CONCATENATE("          ", "6279", " - ", "GENERAL EXPENSE")</f>
        <v xml:space="preserve">          6279 - GENERAL EXPENSE</v>
      </c>
      <c r="C189" s="11"/>
      <c r="D189" s="7"/>
      <c r="E189" s="2"/>
      <c r="F189" s="6">
        <f t="shared" si="71"/>
        <v>0</v>
      </c>
      <c r="G189" s="2"/>
      <c r="H189" s="7">
        <v>223.63</v>
      </c>
      <c r="I189" s="2"/>
      <c r="J189" s="6">
        <f t="shared" si="72"/>
        <v>1.709689167760193E-4</v>
      </c>
      <c r="K189" s="2"/>
      <c r="L189" s="7">
        <f t="shared" si="73"/>
        <v>-223.63</v>
      </c>
      <c r="M189" s="2"/>
      <c r="N189" s="6">
        <f t="shared" si="74"/>
        <v>-1</v>
      </c>
      <c r="O189" s="11"/>
      <c r="P189" s="7">
        <v>4331.1899999999996</v>
      </c>
      <c r="Q189" s="2"/>
      <c r="R189" s="6">
        <f t="shared" si="75"/>
        <v>7.8192862867137568E-4</v>
      </c>
      <c r="S189" s="2"/>
      <c r="T189" s="7">
        <v>2483.85</v>
      </c>
      <c r="U189" s="2"/>
      <c r="V189" s="6">
        <f t="shared" si="76"/>
        <v>4.7025026276536222E-4</v>
      </c>
      <c r="W189" s="2"/>
      <c r="X189" s="7">
        <f t="shared" si="77"/>
        <v>1847.3399999999997</v>
      </c>
      <c r="Y189" s="2"/>
      <c r="Z189" s="6">
        <f t="shared" si="78"/>
        <v>0.74374056404372235</v>
      </c>
    </row>
    <row r="190" spans="1:26" s="29" customFormat="1" outlineLevel="1" collapsed="1" x14ac:dyDescent="0.3">
      <c r="A190" s="28"/>
      <c r="B190" s="14" t="str">
        <f>CONCATENATE("     ","Insurance                                         ")</f>
        <v xml:space="preserve">     Insurance                                         </v>
      </c>
      <c r="C190" s="14"/>
      <c r="D190" s="1">
        <f>SUM(OSRRefD22_12x_0)</f>
        <v>5494.57</v>
      </c>
      <c r="E190" s="1"/>
      <c r="F190" s="5">
        <f t="shared" si="71"/>
        <v>6.0291672791861935E-3</v>
      </c>
      <c r="G190" s="1"/>
      <c r="H190" s="1">
        <f>SUM(OSRRefH22_12x_0)</f>
        <v>4044.74</v>
      </c>
      <c r="I190" s="1"/>
      <c r="J190" s="5">
        <f t="shared" si="72"/>
        <v>3.092272130039066E-3</v>
      </c>
      <c r="K190" s="1"/>
      <c r="L190" s="1">
        <f t="shared" si="73"/>
        <v>1449.83</v>
      </c>
      <c r="M190" s="1"/>
      <c r="N190" s="5">
        <f t="shared" si="74"/>
        <v>0.35844825625380122</v>
      </c>
      <c r="O190" s="14"/>
      <c r="P190" s="1">
        <f>SUM(OSRRefP22_12x_0)</f>
        <v>38461.99</v>
      </c>
      <c r="Q190" s="1"/>
      <c r="R190" s="5">
        <f t="shared" si="75"/>
        <v>6.9437108731485262E-3</v>
      </c>
      <c r="S190" s="1"/>
      <c r="T190" s="1">
        <f>SUM(OSRRefT22_12x_0)</f>
        <v>28313.18</v>
      </c>
      <c r="U190" s="1"/>
      <c r="V190" s="5">
        <f t="shared" si="76"/>
        <v>5.3603399298359396E-3</v>
      </c>
      <c r="W190" s="1"/>
      <c r="X190" s="1">
        <f t="shared" si="77"/>
        <v>10148.809999999998</v>
      </c>
      <c r="Y190" s="1"/>
      <c r="Z190" s="5">
        <f t="shared" si="78"/>
        <v>0.35844825625380117</v>
      </c>
    </row>
    <row r="191" spans="1:26" s="24" customFormat="1" hidden="1" outlineLevel="2" x14ac:dyDescent="0.3">
      <c r="A191" s="27"/>
      <c r="B191" s="11" t="str">
        <f>CONCATENATE("          ", "6314", " - ", "LIABILITY INSURANCE")</f>
        <v xml:space="preserve">          6314 - LIABILITY INSURANCE</v>
      </c>
      <c r="C191" s="11"/>
      <c r="D191" s="7">
        <v>5494.57</v>
      </c>
      <c r="E191" s="2"/>
      <c r="F191" s="6">
        <f t="shared" si="71"/>
        <v>6.0291672791861935E-3</v>
      </c>
      <c r="G191" s="2"/>
      <c r="H191" s="7">
        <v>4044.74</v>
      </c>
      <c r="I191" s="2"/>
      <c r="J191" s="6">
        <f t="shared" si="72"/>
        <v>3.092272130039066E-3</v>
      </c>
      <c r="K191" s="2"/>
      <c r="L191" s="7">
        <f t="shared" si="73"/>
        <v>1449.83</v>
      </c>
      <c r="M191" s="2"/>
      <c r="N191" s="6">
        <f t="shared" si="74"/>
        <v>0.35844825625380122</v>
      </c>
      <c r="O191" s="11"/>
      <c r="P191" s="7">
        <v>38461.99</v>
      </c>
      <c r="Q191" s="2"/>
      <c r="R191" s="6">
        <f t="shared" si="75"/>
        <v>6.9437108731485262E-3</v>
      </c>
      <c r="S191" s="2"/>
      <c r="T191" s="7">
        <v>28313.18</v>
      </c>
      <c r="U191" s="2"/>
      <c r="V191" s="6">
        <f t="shared" si="76"/>
        <v>5.3603399298359396E-3</v>
      </c>
      <c r="W191" s="2"/>
      <c r="X191" s="7">
        <f t="shared" si="77"/>
        <v>10148.809999999998</v>
      </c>
      <c r="Y191" s="2"/>
      <c r="Z191" s="6">
        <f t="shared" si="78"/>
        <v>0.35844825625380117</v>
      </c>
    </row>
    <row r="192" spans="1:26" s="29" customFormat="1" outlineLevel="1" collapsed="1" x14ac:dyDescent="0.3">
      <c r="A192" s="28"/>
      <c r="B192" s="14" t="str">
        <f>CONCATENATE("     ","Inventory Adjustment                              ")</f>
        <v xml:space="preserve">     Inventory Adjustment                              </v>
      </c>
      <c r="C192" s="14"/>
      <c r="D192" s="1">
        <f>SUM(OSRRefD22_13x_0)</f>
        <v>6070</v>
      </c>
      <c r="E192" s="1"/>
      <c r="F192" s="5">
        <f t="shared" si="71"/>
        <v>6.6605840647512354E-3</v>
      </c>
      <c r="G192" s="1"/>
      <c r="H192" s="1">
        <f>SUM(OSRRefH22_13x_0)</f>
        <v>3350</v>
      </c>
      <c r="I192" s="1"/>
      <c r="J192" s="5">
        <f t="shared" si="72"/>
        <v>2.5611316513869547E-3</v>
      </c>
      <c r="K192" s="1"/>
      <c r="L192" s="1">
        <f t="shared" si="73"/>
        <v>2720</v>
      </c>
      <c r="M192" s="1"/>
      <c r="N192" s="5">
        <f t="shared" si="74"/>
        <v>0.81194029850746263</v>
      </c>
      <c r="O192" s="14"/>
      <c r="P192" s="1">
        <f>SUM(OSRRefP22_13x_0)</f>
        <v>46310</v>
      </c>
      <c r="Q192" s="1"/>
      <c r="R192" s="5">
        <f t="shared" si="75"/>
        <v>8.3605463611089361E-3</v>
      </c>
      <c r="S192" s="1"/>
      <c r="T192" s="1">
        <f>SUM(OSRRefT22_13x_0)</f>
        <v>28450</v>
      </c>
      <c r="U192" s="1"/>
      <c r="V192" s="5">
        <f t="shared" si="76"/>
        <v>5.3862431208303863E-3</v>
      </c>
      <c r="W192" s="1"/>
      <c r="X192" s="1">
        <f t="shared" si="77"/>
        <v>17860</v>
      </c>
      <c r="Y192" s="1"/>
      <c r="Z192" s="5">
        <f t="shared" si="78"/>
        <v>0.62776801405975391</v>
      </c>
    </row>
    <row r="193" spans="1:26" s="24" customFormat="1" hidden="1" outlineLevel="2" x14ac:dyDescent="0.3">
      <c r="A193" s="27"/>
      <c r="B193" s="11" t="str">
        <f>CONCATENATE("          ", "6408", " - ", "INVENTORY ADJUSTMENT")</f>
        <v xml:space="preserve">          6408 - INVENTORY ADJUSTMENT</v>
      </c>
      <c r="C193" s="11"/>
      <c r="D193" s="7">
        <v>6070</v>
      </c>
      <c r="E193" s="2"/>
      <c r="F193" s="6">
        <f t="shared" si="71"/>
        <v>6.6605840647512354E-3</v>
      </c>
      <c r="G193" s="2"/>
      <c r="H193" s="7">
        <v>3350</v>
      </c>
      <c r="I193" s="2"/>
      <c r="J193" s="6">
        <f t="shared" si="72"/>
        <v>2.5611316513869547E-3</v>
      </c>
      <c r="K193" s="2"/>
      <c r="L193" s="7">
        <f t="shared" si="73"/>
        <v>2720</v>
      </c>
      <c r="M193" s="2"/>
      <c r="N193" s="6">
        <f t="shared" si="74"/>
        <v>0.81194029850746263</v>
      </c>
      <c r="O193" s="11"/>
      <c r="P193" s="7">
        <v>46310</v>
      </c>
      <c r="Q193" s="2"/>
      <c r="R193" s="6">
        <f t="shared" si="75"/>
        <v>8.3605463611089361E-3</v>
      </c>
      <c r="S193" s="2"/>
      <c r="T193" s="7">
        <v>28450</v>
      </c>
      <c r="U193" s="2"/>
      <c r="V193" s="6">
        <f t="shared" si="76"/>
        <v>5.3862431208303863E-3</v>
      </c>
      <c r="W193" s="2"/>
      <c r="X193" s="7">
        <f t="shared" si="77"/>
        <v>17860</v>
      </c>
      <c r="Y193" s="2"/>
      <c r="Z193" s="6">
        <f t="shared" si="78"/>
        <v>0.62776801405975391</v>
      </c>
    </row>
    <row r="194" spans="1:26" s="24" customFormat="1" hidden="1" outlineLevel="2" x14ac:dyDescent="0.3">
      <c r="A194" s="27"/>
      <c r="B194" s="11" t="str">
        <f>CONCATENATE("          ", "7741", " - ", "INV. SHRINKAGE-LOGO GIFTS")</f>
        <v xml:space="preserve">          7741 - INV. SHRINKAGE-LOGO GIFTS</v>
      </c>
      <c r="C194" s="11"/>
      <c r="D194" s="7"/>
      <c r="E194" s="2"/>
      <c r="F194" s="6">
        <f t="shared" si="71"/>
        <v>0</v>
      </c>
      <c r="G194" s="2"/>
      <c r="H194" s="7"/>
      <c r="I194" s="2"/>
      <c r="J194" s="6">
        <f t="shared" si="72"/>
        <v>0</v>
      </c>
      <c r="K194" s="2"/>
      <c r="L194" s="7">
        <f t="shared" si="73"/>
        <v>0</v>
      </c>
      <c r="M194" s="2"/>
      <c r="N194" s="6">
        <f t="shared" si="74"/>
        <v>0</v>
      </c>
      <c r="O194" s="11"/>
      <c r="P194" s="7"/>
      <c r="Q194" s="2"/>
      <c r="R194" s="6">
        <f t="shared" si="75"/>
        <v>0</v>
      </c>
      <c r="S194" s="2"/>
      <c r="T194" s="7">
        <v>0</v>
      </c>
      <c r="U194" s="2"/>
      <c r="V194" s="6">
        <f t="shared" si="76"/>
        <v>0</v>
      </c>
      <c r="W194" s="2"/>
      <c r="X194" s="7">
        <f t="shared" si="77"/>
        <v>0</v>
      </c>
      <c r="Y194" s="2"/>
      <c r="Z194" s="6">
        <f t="shared" si="78"/>
        <v>0</v>
      </c>
    </row>
    <row r="195" spans="1:26" s="29" customFormat="1" outlineLevel="1" collapsed="1" x14ac:dyDescent="0.3">
      <c r="A195" s="28"/>
      <c r="B195" s="14" t="str">
        <f>CONCATENATE("     ","Professional Services                             ")</f>
        <v xml:space="preserve">     Professional Services                             </v>
      </c>
      <c r="C195" s="14"/>
      <c r="D195" s="1">
        <f>SUM(OSRRefD22_14x_0)</f>
        <v>0</v>
      </c>
      <c r="E195" s="1"/>
      <c r="F195" s="5">
        <f t="shared" ref="F195:F203" si="79">IF(D$12=0,0,D195/D$12)</f>
        <v>0</v>
      </c>
      <c r="G195" s="1"/>
      <c r="H195" s="1">
        <f>SUM(OSRRefH22_14x_0)</f>
        <v>0</v>
      </c>
      <c r="I195" s="1"/>
      <c r="J195" s="5">
        <f t="shared" ref="J195:J203" si="80">IF(H$12=0,0,H195/H$12)</f>
        <v>0</v>
      </c>
      <c r="K195" s="1"/>
      <c r="L195" s="1">
        <f t="shared" ref="L195:L203" si="81">+D195-H195</f>
        <v>0</v>
      </c>
      <c r="M195" s="1"/>
      <c r="N195" s="5">
        <f t="shared" ref="N195:N203" si="82">IF(H195=0,0,L195/H195)</f>
        <v>0</v>
      </c>
      <c r="O195" s="14"/>
      <c r="P195" s="1">
        <f>SUM(OSRRefP22_14x_0)</f>
        <v>8186.53</v>
      </c>
      <c r="Q195" s="1"/>
      <c r="R195" s="5">
        <f t="shared" ref="R195:R203" si="83">IF(P$12=0,0,P195/P$12)</f>
        <v>1.4779499806004996E-3</v>
      </c>
      <c r="S195" s="1"/>
      <c r="T195" s="1">
        <f>SUM(OSRRefT22_14x_0)</f>
        <v>0</v>
      </c>
      <c r="U195" s="1"/>
      <c r="V195" s="5">
        <f t="shared" ref="V195:V203" si="84">IF(T$12=0,0,T195/T$12)</f>
        <v>0</v>
      </c>
      <c r="W195" s="1"/>
      <c r="X195" s="1">
        <f t="shared" ref="X195:X203" si="85">+P195-T195</f>
        <v>8186.53</v>
      </c>
      <c r="Y195" s="1"/>
      <c r="Z195" s="5">
        <f t="shared" ref="Z195:Z203" si="86">IF(T195=0,0,X195/T195)</f>
        <v>0</v>
      </c>
    </row>
    <row r="196" spans="1:26" s="24" customFormat="1" hidden="1" outlineLevel="2" x14ac:dyDescent="0.3">
      <c r="A196" s="27"/>
      <c r="B196" s="11" t="str">
        <f>CONCATENATE("          ", "6336", " - ", "PROFESSIONAL SERVICES")</f>
        <v xml:space="preserve">          6336 - PROFESSIONAL SERVICES</v>
      </c>
      <c r="C196" s="11"/>
      <c r="D196" s="7"/>
      <c r="E196" s="2"/>
      <c r="F196" s="6">
        <f t="shared" si="79"/>
        <v>0</v>
      </c>
      <c r="G196" s="2"/>
      <c r="H196" s="7"/>
      <c r="I196" s="2"/>
      <c r="J196" s="6">
        <f t="shared" si="80"/>
        <v>0</v>
      </c>
      <c r="K196" s="2"/>
      <c r="L196" s="7">
        <f t="shared" si="81"/>
        <v>0</v>
      </c>
      <c r="M196" s="2"/>
      <c r="N196" s="6">
        <f t="shared" si="82"/>
        <v>0</v>
      </c>
      <c r="O196" s="11"/>
      <c r="P196" s="7">
        <v>8186.53</v>
      </c>
      <c r="Q196" s="2"/>
      <c r="R196" s="6">
        <f t="shared" si="83"/>
        <v>1.4779499806004996E-3</v>
      </c>
      <c r="S196" s="2"/>
      <c r="T196" s="7"/>
      <c r="U196" s="2"/>
      <c r="V196" s="6">
        <f t="shared" si="84"/>
        <v>0</v>
      </c>
      <c r="W196" s="2"/>
      <c r="X196" s="7">
        <f t="shared" si="85"/>
        <v>8186.53</v>
      </c>
      <c r="Y196" s="2"/>
      <c r="Z196" s="6">
        <f t="shared" si="86"/>
        <v>0</v>
      </c>
    </row>
    <row r="197" spans="1:26" s="29" customFormat="1" outlineLevel="1" collapsed="1" x14ac:dyDescent="0.3">
      <c r="A197" s="28"/>
      <c r="B197" s="14" t="str">
        <f>CONCATENATE("     ","Rent                                              ")</f>
        <v xml:space="preserve">     Rent                                              </v>
      </c>
      <c r="C197" s="14"/>
      <c r="D197" s="1">
        <f>SUM(OSRRefD22_15x_0)</f>
        <v>6100</v>
      </c>
      <c r="E197" s="1"/>
      <c r="F197" s="5">
        <f t="shared" si="79"/>
        <v>6.6935029316280955E-3</v>
      </c>
      <c r="G197" s="1"/>
      <c r="H197" s="1">
        <f>SUM(OSRRefH22_15x_0)</f>
        <v>6100</v>
      </c>
      <c r="I197" s="1"/>
      <c r="J197" s="5">
        <f t="shared" si="80"/>
        <v>4.6635531562568425E-3</v>
      </c>
      <c r="K197" s="1"/>
      <c r="L197" s="1">
        <f t="shared" si="81"/>
        <v>0</v>
      </c>
      <c r="M197" s="1"/>
      <c r="N197" s="5">
        <f t="shared" si="82"/>
        <v>0</v>
      </c>
      <c r="O197" s="14"/>
      <c r="P197" s="1">
        <f>SUM(OSRRefP22_15x_0)</f>
        <v>42700</v>
      </c>
      <c r="Q197" s="1"/>
      <c r="R197" s="5">
        <f t="shared" si="83"/>
        <v>7.7088173098542765E-3</v>
      </c>
      <c r="S197" s="1"/>
      <c r="T197" s="1">
        <f>SUM(OSRRefT22_15x_0)</f>
        <v>42700</v>
      </c>
      <c r="U197" s="1"/>
      <c r="V197" s="5">
        <f t="shared" si="84"/>
        <v>8.084097759559138E-3</v>
      </c>
      <c r="W197" s="1"/>
      <c r="X197" s="1">
        <f t="shared" si="85"/>
        <v>0</v>
      </c>
      <c r="Y197" s="1"/>
      <c r="Z197" s="5">
        <f t="shared" si="86"/>
        <v>0</v>
      </c>
    </row>
    <row r="198" spans="1:26" s="24" customFormat="1" hidden="1" outlineLevel="2" x14ac:dyDescent="0.3">
      <c r="A198" s="27"/>
      <c r="B198" s="11" t="str">
        <f>CONCATENATE("          ", "6273", " - ", "RENT")</f>
        <v xml:space="preserve">          6273 - RENT</v>
      </c>
      <c r="C198" s="11"/>
      <c r="D198" s="7">
        <v>6100</v>
      </c>
      <c r="E198" s="2"/>
      <c r="F198" s="6">
        <f t="shared" si="79"/>
        <v>6.6935029316280955E-3</v>
      </c>
      <c r="G198" s="2"/>
      <c r="H198" s="7">
        <v>6100</v>
      </c>
      <c r="I198" s="2"/>
      <c r="J198" s="6">
        <f t="shared" si="80"/>
        <v>4.6635531562568425E-3</v>
      </c>
      <c r="K198" s="2"/>
      <c r="L198" s="7">
        <f t="shared" si="81"/>
        <v>0</v>
      </c>
      <c r="M198" s="2"/>
      <c r="N198" s="6">
        <f t="shared" si="82"/>
        <v>0</v>
      </c>
      <c r="O198" s="11"/>
      <c r="P198" s="7">
        <v>42700</v>
      </c>
      <c r="Q198" s="2"/>
      <c r="R198" s="6">
        <f t="shared" si="83"/>
        <v>7.7088173098542765E-3</v>
      </c>
      <c r="S198" s="2"/>
      <c r="T198" s="7">
        <v>42700</v>
      </c>
      <c r="U198" s="2"/>
      <c r="V198" s="6">
        <f t="shared" si="84"/>
        <v>8.084097759559138E-3</v>
      </c>
      <c r="W198" s="2"/>
      <c r="X198" s="7">
        <f t="shared" si="85"/>
        <v>0</v>
      </c>
      <c r="Y198" s="2"/>
      <c r="Z198" s="6">
        <f t="shared" si="86"/>
        <v>0</v>
      </c>
    </row>
    <row r="199" spans="1:26" s="29" customFormat="1" outlineLevel="1" collapsed="1" x14ac:dyDescent="0.3">
      <c r="A199" s="28"/>
      <c r="B199" s="14" t="str">
        <f>CONCATENATE("     ","Repair and Maintenance                            ")</f>
        <v xml:space="preserve">     Repair and Maintenance                            </v>
      </c>
      <c r="C199" s="14"/>
      <c r="D199" s="1">
        <f>SUM(OSRRefD22_16x_0)</f>
        <v>11622.75</v>
      </c>
      <c r="E199" s="1"/>
      <c r="F199" s="5">
        <f t="shared" si="79"/>
        <v>1.2753591999767286E-2</v>
      </c>
      <c r="G199" s="1"/>
      <c r="H199" s="1">
        <f>SUM(OSRRefH22_16x_0)</f>
        <v>3697</v>
      </c>
      <c r="I199" s="1"/>
      <c r="J199" s="5">
        <f t="shared" si="80"/>
        <v>2.8264190194559917E-3</v>
      </c>
      <c r="K199" s="1"/>
      <c r="L199" s="1">
        <f t="shared" si="81"/>
        <v>7925.75</v>
      </c>
      <c r="M199" s="1"/>
      <c r="N199" s="5">
        <f t="shared" si="82"/>
        <v>2.1438328374357587</v>
      </c>
      <c r="O199" s="14"/>
      <c r="P199" s="1">
        <f>SUM(OSRRefP22_16x_0)</f>
        <v>109430.37</v>
      </c>
      <c r="Q199" s="1"/>
      <c r="R199" s="5">
        <f t="shared" si="83"/>
        <v>1.9755942165802298E-2</v>
      </c>
      <c r="S199" s="1"/>
      <c r="T199" s="1">
        <f>SUM(OSRRefT22_16x_0)</f>
        <v>112827.31999999999</v>
      </c>
      <c r="U199" s="1"/>
      <c r="V199" s="5">
        <f t="shared" si="84"/>
        <v>2.1360821658760232E-2</v>
      </c>
      <c r="W199" s="1"/>
      <c r="X199" s="1">
        <f t="shared" si="85"/>
        <v>-3396.9499999999971</v>
      </c>
      <c r="Y199" s="1"/>
      <c r="Z199" s="5">
        <f t="shared" si="86"/>
        <v>-3.010751296760392E-2</v>
      </c>
    </row>
    <row r="200" spans="1:26" s="24" customFormat="1" hidden="1" outlineLevel="2" x14ac:dyDescent="0.3">
      <c r="A200" s="27"/>
      <c r="B200" s="11" t="str">
        <f>CONCATENATE("          ", "6371", " - ", "COMPUTER SOFTWARE MAINTENANCE")</f>
        <v xml:space="preserve">          6371 - COMPUTER SOFTWARE MAINTENANCE</v>
      </c>
      <c r="C200" s="11"/>
      <c r="D200" s="7"/>
      <c r="E200" s="2"/>
      <c r="F200" s="6">
        <f t="shared" si="79"/>
        <v>0</v>
      </c>
      <c r="G200" s="2"/>
      <c r="H200" s="7"/>
      <c r="I200" s="2"/>
      <c r="J200" s="6">
        <f t="shared" si="80"/>
        <v>0</v>
      </c>
      <c r="K200" s="2"/>
      <c r="L200" s="7">
        <f t="shared" si="81"/>
        <v>0</v>
      </c>
      <c r="M200" s="2"/>
      <c r="N200" s="6">
        <f t="shared" si="82"/>
        <v>0</v>
      </c>
      <c r="O200" s="11"/>
      <c r="P200" s="7">
        <v>62511</v>
      </c>
      <c r="Q200" s="2"/>
      <c r="R200" s="6">
        <f t="shared" si="83"/>
        <v>1.1285383579772849E-2</v>
      </c>
      <c r="S200" s="2"/>
      <c r="T200" s="7">
        <v>58436.47</v>
      </c>
      <c r="U200" s="2"/>
      <c r="V200" s="6">
        <f t="shared" si="84"/>
        <v>1.1063375555118146E-2</v>
      </c>
      <c r="W200" s="2"/>
      <c r="X200" s="7">
        <f t="shared" si="85"/>
        <v>4074.5299999999988</v>
      </c>
      <c r="Y200" s="2"/>
      <c r="Z200" s="6">
        <f t="shared" si="86"/>
        <v>6.972580650405473E-2</v>
      </c>
    </row>
    <row r="201" spans="1:26" s="24" customFormat="1" hidden="1" outlineLevel="2" x14ac:dyDescent="0.3">
      <c r="A201" s="27"/>
      <c r="B201" s="11" t="str">
        <f>CONCATENATE("          ", "6372", " - ", "COMPUTER HARDWARE MAINTENANCE")</f>
        <v xml:space="preserve">          6372 - COMPUTER HARDWARE MAINTENANCE</v>
      </c>
      <c r="C201" s="11"/>
      <c r="D201" s="7"/>
      <c r="E201" s="2"/>
      <c r="F201" s="6">
        <f t="shared" si="79"/>
        <v>0</v>
      </c>
      <c r="G201" s="2"/>
      <c r="H201" s="7"/>
      <c r="I201" s="2"/>
      <c r="J201" s="6">
        <f t="shared" si="80"/>
        <v>0</v>
      </c>
      <c r="K201" s="2"/>
      <c r="L201" s="7">
        <f t="shared" si="81"/>
        <v>0</v>
      </c>
      <c r="M201" s="2"/>
      <c r="N201" s="6">
        <f t="shared" si="82"/>
        <v>0</v>
      </c>
      <c r="O201" s="11"/>
      <c r="P201" s="7"/>
      <c r="Q201" s="2"/>
      <c r="R201" s="6">
        <f t="shared" si="83"/>
        <v>0</v>
      </c>
      <c r="S201" s="2"/>
      <c r="T201" s="7">
        <v>0</v>
      </c>
      <c r="U201" s="2"/>
      <c r="V201" s="6">
        <f t="shared" si="84"/>
        <v>0</v>
      </c>
      <c r="W201" s="2"/>
      <c r="X201" s="7">
        <f t="shared" si="85"/>
        <v>0</v>
      </c>
      <c r="Y201" s="2"/>
      <c r="Z201" s="6">
        <f t="shared" si="86"/>
        <v>0</v>
      </c>
    </row>
    <row r="202" spans="1:26" s="24" customFormat="1" hidden="1" outlineLevel="2" x14ac:dyDescent="0.3">
      <c r="A202" s="27"/>
      <c r="B202" s="11" t="str">
        <f>CONCATENATE("          ", "6373", " - ", "MAINTENANCE CONTRACTS")</f>
        <v xml:space="preserve">          6373 - MAINTENANCE CONTRACTS</v>
      </c>
      <c r="C202" s="11"/>
      <c r="D202" s="7">
        <v>1512.02</v>
      </c>
      <c r="E202" s="2"/>
      <c r="F202" s="6">
        <f t="shared" si="79"/>
        <v>1.6591328365049693E-3</v>
      </c>
      <c r="G202" s="2"/>
      <c r="H202" s="7">
        <v>1122</v>
      </c>
      <c r="I202" s="2"/>
      <c r="J202" s="6">
        <f t="shared" si="80"/>
        <v>8.5778797398691439E-4</v>
      </c>
      <c r="K202" s="2"/>
      <c r="L202" s="7">
        <f t="shared" si="81"/>
        <v>390.02</v>
      </c>
      <c r="M202" s="2"/>
      <c r="N202" s="6">
        <f t="shared" si="82"/>
        <v>0.34761140819964348</v>
      </c>
      <c r="O202" s="11"/>
      <c r="P202" s="7">
        <v>15995.19</v>
      </c>
      <c r="Q202" s="2"/>
      <c r="R202" s="6">
        <f t="shared" si="83"/>
        <v>2.8876814413678694E-3</v>
      </c>
      <c r="S202" s="2"/>
      <c r="T202" s="7">
        <v>40054.18</v>
      </c>
      <c r="U202" s="2"/>
      <c r="V202" s="6">
        <f t="shared" si="84"/>
        <v>7.5831828290158889E-3</v>
      </c>
      <c r="W202" s="2"/>
      <c r="X202" s="7">
        <f t="shared" si="85"/>
        <v>-24058.989999999998</v>
      </c>
      <c r="Y202" s="2"/>
      <c r="Z202" s="6">
        <f t="shared" si="86"/>
        <v>-0.60066115446627533</v>
      </c>
    </row>
    <row r="203" spans="1:26" s="24" customFormat="1" hidden="1" outlineLevel="2" x14ac:dyDescent="0.3">
      <c r="A203" s="27"/>
      <c r="B203" s="11" t="str">
        <f>CONCATENATE("          ", "6375", " - ", "OUTSIDE REPAIRS &amp; MAINTENANCE")</f>
        <v xml:space="preserve">          6375 - OUTSIDE REPAIRS &amp; MAINTENANCE</v>
      </c>
      <c r="C203" s="11"/>
      <c r="D203" s="7">
        <v>10110.73</v>
      </c>
      <c r="E203" s="2"/>
      <c r="F203" s="6">
        <f t="shared" si="79"/>
        <v>1.1094459163262316E-2</v>
      </c>
      <c r="G203" s="2"/>
      <c r="H203" s="7">
        <v>2575</v>
      </c>
      <c r="I203" s="2"/>
      <c r="J203" s="6">
        <f t="shared" si="80"/>
        <v>1.9686310454690771E-3</v>
      </c>
      <c r="K203" s="2"/>
      <c r="L203" s="7">
        <f t="shared" si="81"/>
        <v>7535.73</v>
      </c>
      <c r="M203" s="2"/>
      <c r="N203" s="6">
        <f t="shared" si="82"/>
        <v>2.9264970873786407</v>
      </c>
      <c r="O203" s="11"/>
      <c r="P203" s="7">
        <v>30924.18</v>
      </c>
      <c r="Q203" s="2"/>
      <c r="R203" s="6">
        <f t="shared" si="83"/>
        <v>5.5828771446615787E-3</v>
      </c>
      <c r="S203" s="2"/>
      <c r="T203" s="7">
        <v>14336.67</v>
      </c>
      <c r="U203" s="2"/>
      <c r="V203" s="6">
        <f t="shared" si="84"/>
        <v>2.7142632746261996E-3</v>
      </c>
      <c r="W203" s="2"/>
      <c r="X203" s="7">
        <f t="shared" si="85"/>
        <v>16587.510000000002</v>
      </c>
      <c r="Y203" s="2"/>
      <c r="Z203" s="6">
        <f t="shared" si="86"/>
        <v>1.156998800976796</v>
      </c>
    </row>
    <row r="204" spans="1:26" s="29" customFormat="1" outlineLevel="1" collapsed="1" x14ac:dyDescent="0.3">
      <c r="A204" s="28"/>
      <c r="B204" s="14" t="str">
        <f>CONCATENATE("     ","Royalty &amp; Commissions                             ")</f>
        <v xml:space="preserve">     Royalty &amp; Commissions                             </v>
      </c>
      <c r="C204" s="14"/>
      <c r="D204" s="1">
        <f>SUM(OSRRefD22_17x_0)</f>
        <v>23704.5</v>
      </c>
      <c r="E204" s="1"/>
      <c r="F204" s="5">
        <f t="shared" ref="F204:F207" si="87">IF(D$12=0,0,D204/D$12)</f>
        <v>2.601084266275052E-2</v>
      </c>
      <c r="G204" s="1"/>
      <c r="H204" s="1">
        <f>SUM(OSRRefH22_17x_0)</f>
        <v>7789.59</v>
      </c>
      <c r="I204" s="1"/>
      <c r="J204" s="5">
        <f t="shared" ref="J204:J207" si="88">IF(H$12=0,0,H204/H$12)</f>
        <v>5.9552732836797937E-3</v>
      </c>
      <c r="K204" s="1"/>
      <c r="L204" s="1">
        <f t="shared" ref="L204:L207" si="89">+D204-H204</f>
        <v>15914.91</v>
      </c>
      <c r="M204" s="1"/>
      <c r="N204" s="5">
        <f t="shared" ref="N204:N207" si="90">IF(H204=0,0,L204/H204)</f>
        <v>2.0430998293876828</v>
      </c>
      <c r="O204" s="14"/>
      <c r="P204" s="1">
        <f>SUM(OSRRefP22_17x_0)</f>
        <v>45451.430000000008</v>
      </c>
      <c r="Q204" s="1"/>
      <c r="R204" s="5">
        <f t="shared" ref="R204:R207" si="91">IF(P$12=0,0,P204/P$12)</f>
        <v>8.205544972871898E-3</v>
      </c>
      <c r="S204" s="1"/>
      <c r="T204" s="1">
        <f>SUM(OSRRefT22_17x_0)</f>
        <v>36365.65</v>
      </c>
      <c r="U204" s="1"/>
      <c r="V204" s="5">
        <f t="shared" ref="V204:V207" si="92">IF(T$12=0,0,T204/T$12)</f>
        <v>6.8848587749393867E-3</v>
      </c>
      <c r="W204" s="1"/>
      <c r="X204" s="1">
        <f t="shared" ref="X204:X207" si="93">+P204-T204</f>
        <v>9085.7800000000061</v>
      </c>
      <c r="Y204" s="1"/>
      <c r="Z204" s="5">
        <f t="shared" ref="Z204:Z207" si="94">IF(T204=0,0,X204/T204)</f>
        <v>0.24984511482676663</v>
      </c>
    </row>
    <row r="205" spans="1:26" s="24" customFormat="1" hidden="1" outlineLevel="2" x14ac:dyDescent="0.3">
      <c r="A205" s="27"/>
      <c r="B205" s="11" t="str">
        <f>CONCATENATE("          ", "6253", " - ", "ROYALTY DUE ATHLETICS-LRG")</f>
        <v xml:space="preserve">          6253 - ROYALTY DUE ATHLETICS-LRG</v>
      </c>
      <c r="C205" s="11"/>
      <c r="D205" s="7">
        <v>16060.87</v>
      </c>
      <c r="E205" s="2"/>
      <c r="F205" s="6">
        <f t="shared" si="87"/>
        <v>1.7623521381884874E-2</v>
      </c>
      <c r="G205" s="2"/>
      <c r="H205" s="7">
        <v>7785.78</v>
      </c>
      <c r="I205" s="2"/>
      <c r="J205" s="6">
        <f t="shared" si="88"/>
        <v>5.95236047424941E-3</v>
      </c>
      <c r="K205" s="2"/>
      <c r="L205" s="7">
        <f t="shared" si="89"/>
        <v>8275.09</v>
      </c>
      <c r="M205" s="2"/>
      <c r="N205" s="6">
        <f t="shared" si="90"/>
        <v>1.0628466255147204</v>
      </c>
      <c r="O205" s="11"/>
      <c r="P205" s="7">
        <v>39221.160000000003</v>
      </c>
      <c r="Q205" s="2"/>
      <c r="R205" s="6">
        <f t="shared" si="91"/>
        <v>7.0807671456806602E-3</v>
      </c>
      <c r="S205" s="2"/>
      <c r="T205" s="7">
        <v>26197.58</v>
      </c>
      <c r="U205" s="2"/>
      <c r="V205" s="6">
        <f t="shared" si="92"/>
        <v>4.9598079106293047E-3</v>
      </c>
      <c r="W205" s="2"/>
      <c r="X205" s="7">
        <f t="shared" si="93"/>
        <v>13023.580000000002</v>
      </c>
      <c r="Y205" s="2"/>
      <c r="Z205" s="6">
        <f t="shared" si="94"/>
        <v>0.49712912414047405</v>
      </c>
    </row>
    <row r="206" spans="1:26" s="24" customFormat="1" hidden="1" outlineLevel="2" x14ac:dyDescent="0.3">
      <c r="A206" s="27"/>
      <c r="B206" s="11" t="str">
        <f>CONCATENATE("          ", "6254", " - ", "ROYALTY &amp; COMMISSIONS")</f>
        <v xml:space="preserve">          6254 - ROYALTY &amp; COMMISSIONS</v>
      </c>
      <c r="C206" s="11"/>
      <c r="D206" s="7">
        <v>7389.19</v>
      </c>
      <c r="E206" s="2"/>
      <c r="F206" s="6">
        <f t="shared" si="87"/>
        <v>8.1081253979273776E-3</v>
      </c>
      <c r="G206" s="2"/>
      <c r="H206" s="7"/>
      <c r="I206" s="2"/>
      <c r="J206" s="6">
        <f t="shared" si="88"/>
        <v>0</v>
      </c>
      <c r="K206" s="2"/>
      <c r="L206" s="7">
        <f t="shared" si="89"/>
        <v>7389.19</v>
      </c>
      <c r="M206" s="2"/>
      <c r="N206" s="6">
        <f t="shared" si="90"/>
        <v>0</v>
      </c>
      <c r="O206" s="11"/>
      <c r="P206" s="7">
        <v>361.69</v>
      </c>
      <c r="Q206" s="2"/>
      <c r="R206" s="6">
        <f t="shared" si="91"/>
        <v>6.5297473836093512E-5</v>
      </c>
      <c r="S206" s="2"/>
      <c r="T206" s="7"/>
      <c r="U206" s="2"/>
      <c r="V206" s="6">
        <f t="shared" si="92"/>
        <v>0</v>
      </c>
      <c r="W206" s="2"/>
      <c r="X206" s="7">
        <f t="shared" si="93"/>
        <v>361.69</v>
      </c>
      <c r="Y206" s="2"/>
      <c r="Z206" s="6">
        <f t="shared" si="94"/>
        <v>0</v>
      </c>
    </row>
    <row r="207" spans="1:26" s="24" customFormat="1" hidden="1" outlineLevel="2" x14ac:dyDescent="0.3">
      <c r="A207" s="27"/>
      <c r="B207" s="11" t="str">
        <f>CONCATENATE("          ", "6259", " - ", "ROYALTY &amp; COMMISSIONS")</f>
        <v xml:space="preserve">          6259 - ROYALTY &amp; COMMISSIONS</v>
      </c>
      <c r="C207" s="11"/>
      <c r="D207" s="7">
        <v>254.44</v>
      </c>
      <c r="E207" s="2"/>
      <c r="F207" s="6">
        <f t="shared" si="87"/>
        <v>2.7919588293827088E-4</v>
      </c>
      <c r="G207" s="2"/>
      <c r="H207" s="7">
        <v>3.81</v>
      </c>
      <c r="I207" s="2"/>
      <c r="J207" s="6">
        <f t="shared" si="88"/>
        <v>2.9128094303833726E-6</v>
      </c>
      <c r="K207" s="2"/>
      <c r="L207" s="7">
        <f t="shared" si="89"/>
        <v>250.63</v>
      </c>
      <c r="M207" s="2"/>
      <c r="N207" s="6">
        <f t="shared" si="90"/>
        <v>65.782152230971121</v>
      </c>
      <c r="O207" s="11"/>
      <c r="P207" s="7">
        <v>5868.58</v>
      </c>
      <c r="Q207" s="2"/>
      <c r="R207" s="6">
        <f t="shared" si="91"/>
        <v>1.0594803533551431E-3</v>
      </c>
      <c r="S207" s="2"/>
      <c r="T207" s="7">
        <v>10168.07</v>
      </c>
      <c r="U207" s="2"/>
      <c r="V207" s="6">
        <f t="shared" si="92"/>
        <v>1.9250508643100818E-3</v>
      </c>
      <c r="W207" s="2"/>
      <c r="X207" s="7">
        <f t="shared" si="93"/>
        <v>-4299.49</v>
      </c>
      <c r="Y207" s="2"/>
      <c r="Z207" s="6">
        <f t="shared" si="94"/>
        <v>-0.4228422896380532</v>
      </c>
    </row>
    <row r="208" spans="1:26" s="29" customFormat="1" outlineLevel="1" collapsed="1" x14ac:dyDescent="0.3">
      <c r="A208" s="28"/>
      <c r="B208" s="14" t="str">
        <f>CONCATENATE("     ","Services                                          ")</f>
        <v xml:space="preserve">     Services                                          </v>
      </c>
      <c r="C208" s="14"/>
      <c r="D208" s="1">
        <f>SUM(OSRRefD22_18x_0)</f>
        <v>4457.3099999999995</v>
      </c>
      <c r="E208" s="1"/>
      <c r="F208" s="5">
        <f t="shared" ref="F208:F212" si="95">IF(D$12=0,0,D208/D$12)</f>
        <v>4.8909864839631507E-3</v>
      </c>
      <c r="G208" s="1"/>
      <c r="H208" s="1">
        <f>SUM(OSRRefH22_18x_0)</f>
        <v>5545.57</v>
      </c>
      <c r="I208" s="1"/>
      <c r="J208" s="5">
        <f t="shared" ref="J208:J212" si="96">IF(H$12=0,0,H208/H$12)</f>
        <v>4.2396820453677476E-3</v>
      </c>
      <c r="K208" s="1"/>
      <c r="L208" s="1">
        <f t="shared" ref="L208:L212" si="97">+D208-H208</f>
        <v>-1088.2600000000002</v>
      </c>
      <c r="M208" s="1"/>
      <c r="N208" s="5">
        <f t="shared" ref="N208:N212" si="98">IF(H208=0,0,L208/H208)</f>
        <v>-0.19623952091489247</v>
      </c>
      <c r="O208" s="14"/>
      <c r="P208" s="1">
        <f>SUM(OSRRefP22_18x_0)</f>
        <v>40244.299999999996</v>
      </c>
      <c r="Q208" s="1"/>
      <c r="R208" s="5">
        <f t="shared" ref="R208:R212" si="99">IF(P$12=0,0,P208/P$12)</f>
        <v>7.2654790740742017E-3</v>
      </c>
      <c r="S208" s="1"/>
      <c r="T208" s="1">
        <f>SUM(OSRRefT22_18x_0)</f>
        <v>24729.32</v>
      </c>
      <c r="U208" s="1"/>
      <c r="V208" s="5">
        <f t="shared" ref="V208:V212" si="100">IF(T$12=0,0,T208/T$12)</f>
        <v>4.6818323280426464E-3</v>
      </c>
      <c r="W208" s="1"/>
      <c r="X208" s="1">
        <f t="shared" ref="X208:X212" si="101">+P208-T208</f>
        <v>15514.979999999996</v>
      </c>
      <c r="Y208" s="1"/>
      <c r="Z208" s="5">
        <f t="shared" ref="Z208:Z212" si="102">IF(T208=0,0,X208/T208)</f>
        <v>0.62739209974233001</v>
      </c>
    </row>
    <row r="209" spans="1:26" s="24" customFormat="1" hidden="1" outlineLevel="2" x14ac:dyDescent="0.3">
      <c r="A209" s="27"/>
      <c r="B209" s="11" t="str">
        <f>CONCATENATE("          ", "6282", " - ", "JANITORIAL/EXTERMINATOR EXPENS")</f>
        <v xml:space="preserve">          6282 - JANITORIAL/EXTERMINATOR EXPENS</v>
      </c>
      <c r="C209" s="11"/>
      <c r="D209" s="7">
        <v>69</v>
      </c>
      <c r="E209" s="2"/>
      <c r="F209" s="6">
        <f t="shared" si="95"/>
        <v>7.5713393816776808E-5</v>
      </c>
      <c r="G209" s="2"/>
      <c r="H209" s="7">
        <v>1613</v>
      </c>
      <c r="I209" s="2"/>
      <c r="J209" s="6">
        <f t="shared" si="96"/>
        <v>1.233165777220047E-3</v>
      </c>
      <c r="K209" s="2"/>
      <c r="L209" s="7">
        <f t="shared" si="97"/>
        <v>-1544</v>
      </c>
      <c r="M209" s="2"/>
      <c r="N209" s="6">
        <f t="shared" si="98"/>
        <v>-0.95722256664600125</v>
      </c>
      <c r="O209" s="11"/>
      <c r="P209" s="7">
        <v>2193.6799999999998</v>
      </c>
      <c r="Q209" s="2"/>
      <c r="R209" s="6">
        <f t="shared" si="99"/>
        <v>3.9603462192695852E-4</v>
      </c>
      <c r="S209" s="2"/>
      <c r="T209" s="7">
        <v>6953.12</v>
      </c>
      <c r="U209" s="2"/>
      <c r="V209" s="6">
        <f t="shared" si="100"/>
        <v>1.3163864593429939E-3</v>
      </c>
      <c r="W209" s="2"/>
      <c r="X209" s="7">
        <f t="shared" si="101"/>
        <v>-4759.4400000000005</v>
      </c>
      <c r="Y209" s="2"/>
      <c r="Z209" s="6">
        <f t="shared" si="102"/>
        <v>-0.68450422256483434</v>
      </c>
    </row>
    <row r="210" spans="1:26" s="24" customFormat="1" hidden="1" outlineLevel="2" x14ac:dyDescent="0.3">
      <c r="A210" s="27"/>
      <c r="B210" s="11" t="str">
        <f>CONCATENATE("          ", "6283", " - ", "PLANT SERVICE")</f>
        <v xml:space="preserve">          6283 - PLANT SERVICE</v>
      </c>
      <c r="C210" s="11"/>
      <c r="D210" s="7"/>
      <c r="E210" s="2"/>
      <c r="F210" s="6">
        <f t="shared" si="95"/>
        <v>0</v>
      </c>
      <c r="G210" s="2"/>
      <c r="H210" s="7"/>
      <c r="I210" s="2"/>
      <c r="J210" s="6">
        <f t="shared" si="96"/>
        <v>0</v>
      </c>
      <c r="K210" s="2"/>
      <c r="L210" s="7">
        <f t="shared" si="97"/>
        <v>0</v>
      </c>
      <c r="M210" s="2"/>
      <c r="N210" s="6">
        <f t="shared" si="98"/>
        <v>0</v>
      </c>
      <c r="O210" s="11"/>
      <c r="P210" s="7"/>
      <c r="Q210" s="2"/>
      <c r="R210" s="6">
        <f t="shared" si="99"/>
        <v>0</v>
      </c>
      <c r="S210" s="2"/>
      <c r="T210" s="7">
        <v>171.31</v>
      </c>
      <c r="U210" s="2"/>
      <c r="V210" s="6">
        <f t="shared" si="100"/>
        <v>3.2432945835833161E-5</v>
      </c>
      <c r="W210" s="2"/>
      <c r="X210" s="7">
        <f t="shared" si="101"/>
        <v>-171.31</v>
      </c>
      <c r="Y210" s="2"/>
      <c r="Z210" s="6">
        <f t="shared" si="102"/>
        <v>-1</v>
      </c>
    </row>
    <row r="211" spans="1:26" s="24" customFormat="1" hidden="1" outlineLevel="2" x14ac:dyDescent="0.3">
      <c r="A211" s="27"/>
      <c r="B211" s="11" t="str">
        <f>CONCATENATE("          ", "6284", " - ", "TRASH REMOVAL EXPENSE")</f>
        <v xml:space="preserve">          6284 - TRASH REMOVAL EXPENSE</v>
      </c>
      <c r="C211" s="11"/>
      <c r="D211" s="7">
        <v>149.69999999999999</v>
      </c>
      <c r="E211" s="2"/>
      <c r="F211" s="6">
        <f t="shared" si="95"/>
        <v>1.6426514571552881E-4</v>
      </c>
      <c r="G211" s="2"/>
      <c r="H211" s="7">
        <v>142.57</v>
      </c>
      <c r="I211" s="2"/>
      <c r="J211" s="6">
        <f t="shared" si="96"/>
        <v>1.0899717598156362E-4</v>
      </c>
      <c r="K211" s="2"/>
      <c r="L211" s="7">
        <f t="shared" si="97"/>
        <v>7.1299999999999955</v>
      </c>
      <c r="M211" s="2"/>
      <c r="N211" s="6">
        <f t="shared" si="98"/>
        <v>5.0010521147506461E-2</v>
      </c>
      <c r="O211" s="11"/>
      <c r="P211" s="7">
        <v>1040.77</v>
      </c>
      <c r="Q211" s="2"/>
      <c r="R211" s="6">
        <f t="shared" si="99"/>
        <v>1.8789474921726077E-4</v>
      </c>
      <c r="S211" s="2"/>
      <c r="T211" s="7">
        <v>1013.01</v>
      </c>
      <c r="U211" s="2"/>
      <c r="V211" s="6">
        <f t="shared" si="100"/>
        <v>1.917862264967448E-4</v>
      </c>
      <c r="W211" s="2"/>
      <c r="X211" s="7">
        <f t="shared" si="101"/>
        <v>27.759999999999991</v>
      </c>
      <c r="Y211" s="2"/>
      <c r="Z211" s="6">
        <f t="shared" si="102"/>
        <v>2.7403480715886309E-2</v>
      </c>
    </row>
    <row r="212" spans="1:26" s="24" customFormat="1" hidden="1" outlineLevel="2" x14ac:dyDescent="0.3">
      <c r="A212" s="27"/>
      <c r="B212" s="11" t="str">
        <f>CONCATENATE("          ", "6285", " - ", "JANITORIAL SERVICES")</f>
        <v xml:space="preserve">          6285 - JANITORIAL SERVICES</v>
      </c>
      <c r="C212" s="11"/>
      <c r="D212" s="7">
        <v>4238.6099999999997</v>
      </c>
      <c r="E212" s="2"/>
      <c r="F212" s="6">
        <f t="shared" si="95"/>
        <v>4.6510079444308456E-3</v>
      </c>
      <c r="G212" s="2"/>
      <c r="H212" s="7">
        <v>3790</v>
      </c>
      <c r="I212" s="2"/>
      <c r="J212" s="6">
        <f t="shared" si="96"/>
        <v>2.897519092166137E-3</v>
      </c>
      <c r="K212" s="2"/>
      <c r="L212" s="7">
        <f t="shared" si="97"/>
        <v>448.60999999999967</v>
      </c>
      <c r="M212" s="2"/>
      <c r="N212" s="6">
        <f t="shared" si="98"/>
        <v>0.11836675461741417</v>
      </c>
      <c r="O212" s="11"/>
      <c r="P212" s="7">
        <v>37009.85</v>
      </c>
      <c r="Q212" s="2"/>
      <c r="R212" s="6">
        <f t="shared" si="99"/>
        <v>6.6815497029299835E-3</v>
      </c>
      <c r="S212" s="2"/>
      <c r="T212" s="7">
        <v>16591.88</v>
      </c>
      <c r="U212" s="2"/>
      <c r="V212" s="6">
        <f t="shared" si="100"/>
        <v>3.1412266963670747E-3</v>
      </c>
      <c r="W212" s="2"/>
      <c r="X212" s="7">
        <f t="shared" si="101"/>
        <v>20417.969999999998</v>
      </c>
      <c r="Y212" s="2"/>
      <c r="Z212" s="6">
        <f t="shared" si="102"/>
        <v>1.2306001489885412</v>
      </c>
    </row>
    <row r="213" spans="1:26" s="29" customFormat="1" outlineLevel="1" collapsed="1" x14ac:dyDescent="0.3">
      <c r="A213" s="28"/>
      <c r="B213" s="14" t="str">
        <f>CONCATENATE("     ","Subscriptions &amp; Dues                              ")</f>
        <v xml:space="preserve">     Subscriptions &amp; Dues                              </v>
      </c>
      <c r="C213" s="14"/>
      <c r="D213" s="1">
        <f>SUM(OSRRefD22_19x_0)</f>
        <v>301.99</v>
      </c>
      <c r="E213" s="1"/>
      <c r="F213" s="5">
        <f t="shared" ref="F213:F215" si="103">IF(D$12=0,0,D213/D$12)</f>
        <v>3.3137228693809321E-4</v>
      </c>
      <c r="G213" s="1"/>
      <c r="H213" s="1">
        <f>SUM(OSRRefH22_19x_0)</f>
        <v>2389.69</v>
      </c>
      <c r="I213" s="1"/>
      <c r="J213" s="5">
        <f t="shared" ref="J213:J215" si="104">IF(H$12=0,0,H213/H$12)</f>
        <v>1.8269584167172812E-3</v>
      </c>
      <c r="K213" s="1"/>
      <c r="L213" s="1">
        <f t="shared" ref="L213:L215" si="105">+D213-H213</f>
        <v>-2087.6999999999998</v>
      </c>
      <c r="M213" s="1"/>
      <c r="N213" s="5">
        <f t="shared" ref="N213:N215" si="106">IF(H213=0,0,L213/H213)</f>
        <v>-0.87362796011198096</v>
      </c>
      <c r="O213" s="14"/>
      <c r="P213" s="1">
        <f>SUM(OSRRefP22_19x_0)</f>
        <v>1693.73</v>
      </c>
      <c r="Q213" s="1"/>
      <c r="R213" s="5">
        <f t="shared" ref="R213:R215" si="107">IF(P$12=0,0,P213/P$12)</f>
        <v>3.0577646703090126E-4</v>
      </c>
      <c r="S213" s="1"/>
      <c r="T213" s="1">
        <f>SUM(OSRRefT22_19x_0)</f>
        <v>3845.13</v>
      </c>
      <c r="U213" s="1"/>
      <c r="V213" s="5">
        <f t="shared" ref="V213:V215" si="108">IF(T$12=0,0,T213/T$12)</f>
        <v>7.2797205663263772E-4</v>
      </c>
      <c r="W213" s="1"/>
      <c r="X213" s="1">
        <f t="shared" ref="X213:X215" si="109">+P213-T213</f>
        <v>-2151.4</v>
      </c>
      <c r="Y213" s="1"/>
      <c r="Z213" s="5">
        <f t="shared" ref="Z213:Z215" si="110">IF(T213=0,0,X213/T213)</f>
        <v>-0.55951294234525228</v>
      </c>
    </row>
    <row r="214" spans="1:26" s="24" customFormat="1" hidden="1" outlineLevel="2" x14ac:dyDescent="0.3">
      <c r="A214" s="27"/>
      <c r="B214" s="11" t="str">
        <f>CONCATENATE("          ", "6258", " - ", "MEMBERSHIP DUES")</f>
        <v xml:space="preserve">          6258 - MEMBERSHIP DUES</v>
      </c>
      <c r="C214" s="11"/>
      <c r="D214" s="7">
        <v>301.99</v>
      </c>
      <c r="E214" s="2"/>
      <c r="F214" s="6">
        <f t="shared" si="103"/>
        <v>3.3137228693809321E-4</v>
      </c>
      <c r="G214" s="2"/>
      <c r="H214" s="7">
        <v>462.61</v>
      </c>
      <c r="I214" s="2"/>
      <c r="J214" s="6">
        <f t="shared" si="104"/>
        <v>3.5367316813376693E-4</v>
      </c>
      <c r="K214" s="2"/>
      <c r="L214" s="7">
        <f t="shared" si="105"/>
        <v>-160.62</v>
      </c>
      <c r="M214" s="2"/>
      <c r="N214" s="6">
        <f t="shared" si="106"/>
        <v>-0.34720390825965713</v>
      </c>
      <c r="O214" s="11"/>
      <c r="P214" s="7">
        <v>1693.73</v>
      </c>
      <c r="Q214" s="2"/>
      <c r="R214" s="6">
        <f t="shared" si="107"/>
        <v>3.0577646703090126E-4</v>
      </c>
      <c r="S214" s="2"/>
      <c r="T214" s="7">
        <v>1692.32</v>
      </c>
      <c r="U214" s="2"/>
      <c r="V214" s="6">
        <f t="shared" si="108"/>
        <v>3.2039532366410123E-4</v>
      </c>
      <c r="W214" s="2"/>
      <c r="X214" s="7">
        <f t="shared" si="109"/>
        <v>1.4100000000000819</v>
      </c>
      <c r="Y214" s="2"/>
      <c r="Z214" s="6">
        <f t="shared" si="110"/>
        <v>8.3317575872180318E-4</v>
      </c>
    </row>
    <row r="215" spans="1:26" s="24" customFormat="1" hidden="1" outlineLevel="2" x14ac:dyDescent="0.3">
      <c r="A215" s="27"/>
      <c r="B215" s="11" t="str">
        <f>CONCATENATE("          ", "6275", " - ", "SUBSCRIPTIONS")</f>
        <v xml:space="preserve">          6275 - SUBSCRIPTIONS</v>
      </c>
      <c r="C215" s="11"/>
      <c r="D215" s="7"/>
      <c r="E215" s="2"/>
      <c r="F215" s="6">
        <f t="shared" si="103"/>
        <v>0</v>
      </c>
      <c r="G215" s="2"/>
      <c r="H215" s="7">
        <v>1927.08</v>
      </c>
      <c r="I215" s="2"/>
      <c r="J215" s="6">
        <f t="shared" si="104"/>
        <v>1.4732852485835142E-3</v>
      </c>
      <c r="K215" s="2"/>
      <c r="L215" s="7">
        <f t="shared" si="105"/>
        <v>-1927.08</v>
      </c>
      <c r="M215" s="2"/>
      <c r="N215" s="6">
        <f t="shared" si="106"/>
        <v>-1</v>
      </c>
      <c r="O215" s="11"/>
      <c r="P215" s="7"/>
      <c r="Q215" s="2"/>
      <c r="R215" s="6">
        <f t="shared" si="107"/>
        <v>0</v>
      </c>
      <c r="S215" s="2"/>
      <c r="T215" s="7">
        <v>2152.81</v>
      </c>
      <c r="U215" s="2"/>
      <c r="V215" s="6">
        <f t="shared" si="108"/>
        <v>4.0757673296853649E-4</v>
      </c>
      <c r="W215" s="2"/>
      <c r="X215" s="7">
        <f t="shared" si="109"/>
        <v>-2152.81</v>
      </c>
      <c r="Y215" s="2"/>
      <c r="Z215" s="6">
        <f t="shared" si="110"/>
        <v>-1</v>
      </c>
    </row>
    <row r="216" spans="1:26" s="29" customFormat="1" outlineLevel="1" collapsed="1" x14ac:dyDescent="0.3">
      <c r="A216" s="28"/>
      <c r="B216" s="14" t="str">
        <f>CONCATENATE("     ","Supplies                                          ")</f>
        <v xml:space="preserve">     Supplies                                          </v>
      </c>
      <c r="C216" s="14"/>
      <c r="D216" s="1">
        <f>SUM(OSRRefD22_20x_0)</f>
        <v>3947.6</v>
      </c>
      <c r="E216" s="1"/>
      <c r="F216" s="5">
        <f t="shared" ref="F216:F223" si="111">IF(D$12=0,0,D216/D$12)</f>
        <v>4.3316839627696837E-3</v>
      </c>
      <c r="G216" s="1"/>
      <c r="H216" s="1">
        <f>SUM(OSRRefH22_20x_0)</f>
        <v>12992.79</v>
      </c>
      <c r="I216" s="1"/>
      <c r="J216" s="5">
        <f t="shared" ref="J216:J223" si="112">IF(H$12=0,0,H216/H$12)</f>
        <v>9.9332076742757944E-3</v>
      </c>
      <c r="K216" s="1"/>
      <c r="L216" s="1">
        <f t="shared" ref="L216:L223" si="113">+D216-H216</f>
        <v>-9045.19</v>
      </c>
      <c r="M216" s="1"/>
      <c r="N216" s="5">
        <f t="shared" ref="N216:N223" si="114">IF(H216=0,0,L216/H216)</f>
        <v>-0.69616995271993154</v>
      </c>
      <c r="O216" s="14"/>
      <c r="P216" s="1">
        <f>SUM(OSRRefP22_20x_0)</f>
        <v>59971.85</v>
      </c>
      <c r="Q216" s="1"/>
      <c r="R216" s="5">
        <f t="shared" ref="R216:R223" si="115">IF(P$12=0,0,P216/P$12)</f>
        <v>1.0826979751381362E-2</v>
      </c>
      <c r="S216" s="1"/>
      <c r="T216" s="1">
        <f>SUM(OSRRefT22_20x_0)</f>
        <v>93072.46</v>
      </c>
      <c r="U216" s="1"/>
      <c r="V216" s="5">
        <f t="shared" ref="V216:V223" si="116">IF(T$12=0,0,T216/T$12)</f>
        <v>1.7620769680624301E-2</v>
      </c>
      <c r="W216" s="1"/>
      <c r="X216" s="1">
        <f t="shared" ref="X216:X223" si="117">+P216-T216</f>
        <v>-33100.610000000008</v>
      </c>
      <c r="Y216" s="1"/>
      <c r="Z216" s="5">
        <f t="shared" ref="Z216:Z223" si="118">IF(T216=0,0,X216/T216)</f>
        <v>-0.35564344167974077</v>
      </c>
    </row>
    <row r="217" spans="1:26" s="24" customFormat="1" hidden="1" outlineLevel="2" x14ac:dyDescent="0.3">
      <c r="A217" s="27"/>
      <c r="B217" s="11" t="str">
        <f>CONCATENATE("          ", "6234", " - ", "EXPENDABLE SUPPLIES &amp; EQUIPMEN")</f>
        <v xml:space="preserve">          6234 - EXPENDABLE SUPPLIES &amp; EQUIPMEN</v>
      </c>
      <c r="C217" s="11"/>
      <c r="D217" s="7"/>
      <c r="E217" s="2"/>
      <c r="F217" s="6">
        <f t="shared" si="111"/>
        <v>0</v>
      </c>
      <c r="G217" s="2"/>
      <c r="H217" s="7">
        <v>396.5</v>
      </c>
      <c r="I217" s="2"/>
      <c r="J217" s="6">
        <f t="shared" si="112"/>
        <v>3.0313095515669476E-4</v>
      </c>
      <c r="K217" s="2"/>
      <c r="L217" s="7">
        <f t="shared" si="113"/>
        <v>-396.5</v>
      </c>
      <c r="M217" s="2"/>
      <c r="N217" s="6">
        <f t="shared" si="114"/>
        <v>-1</v>
      </c>
      <c r="O217" s="11"/>
      <c r="P217" s="7">
        <v>5289.57</v>
      </c>
      <c r="Q217" s="2"/>
      <c r="R217" s="6">
        <f t="shared" si="115"/>
        <v>9.5494915170224546E-4</v>
      </c>
      <c r="S217" s="2"/>
      <c r="T217" s="7">
        <v>-52.84</v>
      </c>
      <c r="U217" s="2"/>
      <c r="V217" s="6">
        <f t="shared" si="116"/>
        <v>-1.0003834323538758E-5</v>
      </c>
      <c r="W217" s="2"/>
      <c r="X217" s="7">
        <f t="shared" si="117"/>
        <v>5342.41</v>
      </c>
      <c r="Y217" s="2"/>
      <c r="Z217" s="6">
        <f t="shared" si="118"/>
        <v>-101.10541256623769</v>
      </c>
    </row>
    <row r="218" spans="1:26" s="24" customFormat="1" hidden="1" outlineLevel="2" x14ac:dyDescent="0.3">
      <c r="A218" s="27"/>
      <c r="B218" s="11" t="str">
        <f>CONCATENATE("          ", "6235", " - ", "COVID-19 EXPENSES")</f>
        <v xml:space="preserve">          6235 - COVID-19 EXPENSES</v>
      </c>
      <c r="C218" s="11"/>
      <c r="D218" s="7"/>
      <c r="E218" s="2"/>
      <c r="F218" s="6">
        <f t="shared" si="111"/>
        <v>0</v>
      </c>
      <c r="G218" s="2"/>
      <c r="H218" s="7">
        <v>2921.2</v>
      </c>
      <c r="I218" s="2"/>
      <c r="J218" s="6">
        <f t="shared" si="112"/>
        <v>2.2333068000094242E-3</v>
      </c>
      <c r="K218" s="2"/>
      <c r="L218" s="7">
        <f t="shared" si="113"/>
        <v>-2921.2</v>
      </c>
      <c r="M218" s="2"/>
      <c r="N218" s="6">
        <f t="shared" si="114"/>
        <v>-1</v>
      </c>
      <c r="O218" s="11"/>
      <c r="P218" s="7">
        <v>3430.32</v>
      </c>
      <c r="Q218" s="2"/>
      <c r="R218" s="6">
        <f t="shared" si="115"/>
        <v>6.1929063686977338E-4</v>
      </c>
      <c r="S218" s="2"/>
      <c r="T218" s="7">
        <v>34967.15</v>
      </c>
      <c r="U218" s="2"/>
      <c r="V218" s="6">
        <f t="shared" si="116"/>
        <v>6.6200903740788845E-3</v>
      </c>
      <c r="W218" s="2"/>
      <c r="X218" s="7">
        <f t="shared" si="117"/>
        <v>-31536.83</v>
      </c>
      <c r="Y218" s="2"/>
      <c r="Z218" s="6">
        <f t="shared" si="118"/>
        <v>-0.90189878214266817</v>
      </c>
    </row>
    <row r="219" spans="1:26" s="24" customFormat="1" hidden="1" outlineLevel="2" x14ac:dyDescent="0.3">
      <c r="A219" s="27"/>
      <c r="B219" s="11" t="str">
        <f>CONCATENATE("          ", "6237", " - ", "JANITORIAL SUPPLIES")</f>
        <v xml:space="preserve">          6237 - JANITORIAL SUPPLIES</v>
      </c>
      <c r="C219" s="11"/>
      <c r="D219" s="7">
        <v>665.03</v>
      </c>
      <c r="E219" s="2"/>
      <c r="F219" s="6">
        <f t="shared" si="111"/>
        <v>7.2973446797059544E-4</v>
      </c>
      <c r="G219" s="2"/>
      <c r="H219" s="7">
        <v>329.77</v>
      </c>
      <c r="I219" s="2"/>
      <c r="J219" s="6">
        <f t="shared" si="112"/>
        <v>2.5211474169488835E-4</v>
      </c>
      <c r="K219" s="2"/>
      <c r="L219" s="7">
        <f t="shared" si="113"/>
        <v>335.26</v>
      </c>
      <c r="M219" s="2"/>
      <c r="N219" s="6">
        <f t="shared" si="114"/>
        <v>1.0166479667647148</v>
      </c>
      <c r="O219" s="11"/>
      <c r="P219" s="7">
        <v>4531.17</v>
      </c>
      <c r="Q219" s="2"/>
      <c r="R219" s="6">
        <f t="shared" si="115"/>
        <v>8.1803189062979863E-4</v>
      </c>
      <c r="S219" s="2"/>
      <c r="T219" s="7">
        <v>2263.65</v>
      </c>
      <c r="U219" s="2"/>
      <c r="V219" s="6">
        <f t="shared" si="116"/>
        <v>4.2856130897953265E-4</v>
      </c>
      <c r="W219" s="2"/>
      <c r="X219" s="7">
        <f t="shared" si="117"/>
        <v>2267.52</v>
      </c>
      <c r="Y219" s="2"/>
      <c r="Z219" s="6">
        <f t="shared" si="118"/>
        <v>1.0017096282552513</v>
      </c>
    </row>
    <row r="220" spans="1:26" s="24" customFormat="1" hidden="1" outlineLevel="2" x14ac:dyDescent="0.3">
      <c r="A220" s="27"/>
      <c r="B220" s="11" t="str">
        <f>CONCATENATE("          ", "6241", " - ", "OFFICE EXPENSE")</f>
        <v xml:space="preserve">          6241 - OFFICE EXPENSE</v>
      </c>
      <c r="C220" s="11"/>
      <c r="D220" s="7">
        <v>491.99</v>
      </c>
      <c r="E220" s="2"/>
      <c r="F220" s="6">
        <f t="shared" si="111"/>
        <v>5.3985844382486992E-4</v>
      </c>
      <c r="G220" s="2"/>
      <c r="H220" s="7">
        <v>-239.51</v>
      </c>
      <c r="I220" s="2"/>
      <c r="J220" s="6">
        <f t="shared" si="112"/>
        <v>-1.8310944532050433E-4</v>
      </c>
      <c r="K220" s="2"/>
      <c r="L220" s="7">
        <f t="shared" si="113"/>
        <v>731.5</v>
      </c>
      <c r="M220" s="2"/>
      <c r="N220" s="6">
        <f t="shared" si="114"/>
        <v>-3.0541522274644066</v>
      </c>
      <c r="O220" s="11"/>
      <c r="P220" s="7">
        <v>9284.23</v>
      </c>
      <c r="Q220" s="2"/>
      <c r="R220" s="6">
        <f t="shared" si="115"/>
        <v>1.6761225511163552E-3</v>
      </c>
      <c r="S220" s="2"/>
      <c r="T220" s="7">
        <v>10633.61</v>
      </c>
      <c r="U220" s="2"/>
      <c r="V220" s="6">
        <f t="shared" si="116"/>
        <v>2.0131883554338563E-3</v>
      </c>
      <c r="W220" s="2"/>
      <c r="X220" s="7">
        <f t="shared" si="117"/>
        <v>-1349.380000000001</v>
      </c>
      <c r="Y220" s="2"/>
      <c r="Z220" s="6">
        <f t="shared" si="118"/>
        <v>-0.12689763871347556</v>
      </c>
    </row>
    <row r="221" spans="1:26" s="24" customFormat="1" hidden="1" outlineLevel="2" x14ac:dyDescent="0.3">
      <c r="A221" s="27"/>
      <c r="B221" s="11" t="str">
        <f>CONCATENATE("          ", "6243", " - ", "PAPER SUPPLIES")</f>
        <v xml:space="preserve">          6243 - PAPER SUPPLIES</v>
      </c>
      <c r="C221" s="11"/>
      <c r="D221" s="7">
        <v>78.34</v>
      </c>
      <c r="E221" s="2"/>
      <c r="F221" s="6">
        <f t="shared" si="111"/>
        <v>8.5962134371105742E-5</v>
      </c>
      <c r="G221" s="2"/>
      <c r="H221" s="7">
        <v>1080</v>
      </c>
      <c r="I221" s="2"/>
      <c r="J221" s="6">
        <f t="shared" si="112"/>
        <v>8.2567826373071971E-4</v>
      </c>
      <c r="K221" s="2"/>
      <c r="L221" s="7">
        <f t="shared" si="113"/>
        <v>-1001.66</v>
      </c>
      <c r="M221" s="2"/>
      <c r="N221" s="6">
        <f t="shared" si="114"/>
        <v>-0.92746296296296293</v>
      </c>
      <c r="O221" s="11"/>
      <c r="P221" s="7">
        <v>4549.24</v>
      </c>
      <c r="Q221" s="2"/>
      <c r="R221" s="6">
        <f t="shared" si="115"/>
        <v>8.2129414657333645E-4</v>
      </c>
      <c r="S221" s="2"/>
      <c r="T221" s="7">
        <v>6173.4</v>
      </c>
      <c r="U221" s="2"/>
      <c r="V221" s="6">
        <f t="shared" si="116"/>
        <v>1.1687674264370582E-3</v>
      </c>
      <c r="W221" s="2"/>
      <c r="X221" s="7">
        <f t="shared" si="117"/>
        <v>-1624.1599999999999</v>
      </c>
      <c r="Y221" s="2"/>
      <c r="Z221" s="6">
        <f t="shared" si="118"/>
        <v>-0.26309003142514659</v>
      </c>
    </row>
    <row r="222" spans="1:26" s="24" customFormat="1" hidden="1" outlineLevel="2" x14ac:dyDescent="0.3">
      <c r="A222" s="27"/>
      <c r="B222" s="11" t="str">
        <f>CONCATENATE("          ", "6245", " - ", "PRINTING")</f>
        <v xml:space="preserve">          6245 - PRINTING</v>
      </c>
      <c r="C222" s="11"/>
      <c r="D222" s="7">
        <v>689.76</v>
      </c>
      <c r="E222" s="2"/>
      <c r="F222" s="6">
        <f t="shared" si="111"/>
        <v>7.5687058723275329E-4</v>
      </c>
      <c r="G222" s="2"/>
      <c r="H222" s="7"/>
      <c r="I222" s="2"/>
      <c r="J222" s="6">
        <f t="shared" si="112"/>
        <v>0</v>
      </c>
      <c r="K222" s="2"/>
      <c r="L222" s="7">
        <f t="shared" si="113"/>
        <v>689.76</v>
      </c>
      <c r="M222" s="2"/>
      <c r="N222" s="6">
        <f t="shared" si="114"/>
        <v>0</v>
      </c>
      <c r="O222" s="11"/>
      <c r="P222" s="7">
        <v>2801.74</v>
      </c>
      <c r="Q222" s="2"/>
      <c r="R222" s="6">
        <f t="shared" si="115"/>
        <v>5.0581034683164217E-4</v>
      </c>
      <c r="S222" s="2"/>
      <c r="T222" s="7">
        <v>508.27</v>
      </c>
      <c r="U222" s="2"/>
      <c r="V222" s="6">
        <f t="shared" si="116"/>
        <v>9.6227268577309683E-5</v>
      </c>
      <c r="W222" s="2"/>
      <c r="X222" s="7">
        <f t="shared" si="117"/>
        <v>2293.4699999999998</v>
      </c>
      <c r="Y222" s="2"/>
      <c r="Z222" s="6">
        <f t="shared" si="118"/>
        <v>4.5123064512955713</v>
      </c>
    </row>
    <row r="223" spans="1:26" s="24" customFormat="1" hidden="1" outlineLevel="2" x14ac:dyDescent="0.3">
      <c r="A223" s="27"/>
      <c r="B223" s="11" t="str">
        <f>CONCATENATE("          ", "6247", " - ", "STORE SUPPLIES")</f>
        <v xml:space="preserve">          6247 - STORE SUPPLIES</v>
      </c>
      <c r="C223" s="11"/>
      <c r="D223" s="7">
        <v>2022.48</v>
      </c>
      <c r="E223" s="2"/>
      <c r="F223" s="6">
        <f t="shared" si="111"/>
        <v>2.2192583293703591E-3</v>
      </c>
      <c r="G223" s="2"/>
      <c r="H223" s="7">
        <v>8504.83</v>
      </c>
      <c r="I223" s="2"/>
      <c r="J223" s="6">
        <f t="shared" si="112"/>
        <v>6.5020863590045715E-3</v>
      </c>
      <c r="K223" s="2"/>
      <c r="L223" s="7">
        <f t="shared" si="113"/>
        <v>-6482.35</v>
      </c>
      <c r="M223" s="2"/>
      <c r="N223" s="6">
        <f t="shared" si="114"/>
        <v>-0.76219630492320256</v>
      </c>
      <c r="O223" s="11"/>
      <c r="P223" s="7">
        <v>30085.58</v>
      </c>
      <c r="Q223" s="2"/>
      <c r="R223" s="6">
        <f t="shared" si="115"/>
        <v>5.4314810276582118E-3</v>
      </c>
      <c r="S223" s="2"/>
      <c r="T223" s="7">
        <v>38579.22</v>
      </c>
      <c r="U223" s="2"/>
      <c r="V223" s="6">
        <f t="shared" si="116"/>
        <v>7.3039387814411976E-3</v>
      </c>
      <c r="W223" s="2"/>
      <c r="X223" s="7">
        <f t="shared" si="117"/>
        <v>-8493.64</v>
      </c>
      <c r="Y223" s="2"/>
      <c r="Z223" s="6">
        <f t="shared" si="118"/>
        <v>-0.22016100895767202</v>
      </c>
    </row>
    <row r="224" spans="1:26" s="29" customFormat="1" outlineLevel="1" collapsed="1" x14ac:dyDescent="0.3">
      <c r="A224" s="28"/>
      <c r="B224" s="14" t="str">
        <f>CONCATENATE("     ","Telephone/Data Lines                              ")</f>
        <v xml:space="preserve">     Telephone/Data Lines                              </v>
      </c>
      <c r="C224" s="14"/>
      <c r="D224" s="1">
        <f>SUM(OSRRefD22_21x_0)</f>
        <v>2491.98</v>
      </c>
      <c r="E224" s="1"/>
      <c r="F224" s="5">
        <f t="shared" ref="F224:F226" si="119">IF(D$12=0,0,D224/D$12)</f>
        <v>2.7344385959932101E-3</v>
      </c>
      <c r="G224" s="1"/>
      <c r="H224" s="1">
        <f>SUM(OSRRefH22_21x_0)</f>
        <v>2389.2600000000002</v>
      </c>
      <c r="I224" s="1"/>
      <c r="J224" s="5">
        <f t="shared" ref="J224:J226" si="120">IF(H$12=0,0,H224/H$12)</f>
        <v>1.8266296744456107E-3</v>
      </c>
      <c r="K224" s="1"/>
      <c r="L224" s="1">
        <f t="shared" ref="L224:L226" si="121">+D224-H224</f>
        <v>102.7199999999998</v>
      </c>
      <c r="M224" s="1"/>
      <c r="N224" s="5">
        <f t="shared" ref="N224:N226" si="122">IF(H224=0,0,L224/H224)</f>
        <v>4.2992390949498922E-2</v>
      </c>
      <c r="O224" s="14"/>
      <c r="P224" s="1">
        <f>SUM(OSRRefP22_21x_0)</f>
        <v>14413.19</v>
      </c>
      <c r="Q224" s="1"/>
      <c r="R224" s="5">
        <f t="shared" ref="R224:R226" si="123">IF(P$12=0,0,P224/P$12)</f>
        <v>2.6020760787404816E-3</v>
      </c>
      <c r="S224" s="1"/>
      <c r="T224" s="1">
        <f>SUM(OSRRefT22_21x_0)</f>
        <v>19270.75</v>
      </c>
      <c r="U224" s="1"/>
      <c r="V224" s="5">
        <f t="shared" ref="V224:V226" si="124">IF(T$12=0,0,T224/T$12)</f>
        <v>3.6483987564408494E-3</v>
      </c>
      <c r="W224" s="1"/>
      <c r="X224" s="1">
        <f t="shared" ref="X224:X226" si="125">+P224-T224</f>
        <v>-4857.5599999999995</v>
      </c>
      <c r="Y224" s="1"/>
      <c r="Z224" s="5">
        <f t="shared" ref="Z224:Z226" si="126">IF(T224=0,0,X224/T224)</f>
        <v>-0.25206906840678228</v>
      </c>
    </row>
    <row r="225" spans="1:26" s="24" customFormat="1" hidden="1" outlineLevel="2" x14ac:dyDescent="0.3">
      <c r="A225" s="27"/>
      <c r="B225" s="11" t="str">
        <f>CONCATENATE("          ", "6303", " - ", "DATA PHONE LINES")</f>
        <v xml:space="preserve">          6303 - DATA PHONE LINES</v>
      </c>
      <c r="C225" s="11"/>
      <c r="D225" s="7"/>
      <c r="E225" s="2"/>
      <c r="F225" s="6">
        <f t="shared" si="119"/>
        <v>0</v>
      </c>
      <c r="G225" s="2"/>
      <c r="H225" s="7">
        <v>295</v>
      </c>
      <c r="I225" s="2"/>
      <c r="J225" s="6">
        <f t="shared" si="120"/>
        <v>2.2553248870422438E-4</v>
      </c>
      <c r="K225" s="2"/>
      <c r="L225" s="7">
        <f t="shared" si="121"/>
        <v>-295</v>
      </c>
      <c r="M225" s="2"/>
      <c r="N225" s="6">
        <f t="shared" si="122"/>
        <v>-1</v>
      </c>
      <c r="O225" s="11"/>
      <c r="P225" s="7">
        <v>295</v>
      </c>
      <c r="Q225" s="2"/>
      <c r="R225" s="6">
        <f t="shared" si="123"/>
        <v>5.3257637152389031E-5</v>
      </c>
      <c r="S225" s="2"/>
      <c r="T225" s="7">
        <v>2360</v>
      </c>
      <c r="U225" s="2"/>
      <c r="V225" s="6">
        <f t="shared" si="124"/>
        <v>4.4680259279998986E-4</v>
      </c>
      <c r="W225" s="2"/>
      <c r="X225" s="7">
        <f t="shared" si="125"/>
        <v>-2065</v>
      </c>
      <c r="Y225" s="2"/>
      <c r="Z225" s="6">
        <f t="shared" si="126"/>
        <v>-0.875</v>
      </c>
    </row>
    <row r="226" spans="1:26" s="24" customFormat="1" hidden="1" outlineLevel="2" x14ac:dyDescent="0.3">
      <c r="A226" s="27"/>
      <c r="B226" s="11" t="str">
        <f>CONCATENATE("          ", "6309", " - ", "TELEPHONE")</f>
        <v xml:space="preserve">          6309 - TELEPHONE</v>
      </c>
      <c r="C226" s="11"/>
      <c r="D226" s="7">
        <v>2491.98</v>
      </c>
      <c r="E226" s="2"/>
      <c r="F226" s="6">
        <f t="shared" si="119"/>
        <v>2.7344385959932101E-3</v>
      </c>
      <c r="G226" s="2"/>
      <c r="H226" s="7">
        <v>2094.2600000000002</v>
      </c>
      <c r="I226" s="2"/>
      <c r="J226" s="6">
        <f t="shared" si="120"/>
        <v>1.6010971857413864E-3</v>
      </c>
      <c r="K226" s="2"/>
      <c r="L226" s="7">
        <f t="shared" si="121"/>
        <v>397.7199999999998</v>
      </c>
      <c r="M226" s="2"/>
      <c r="N226" s="6">
        <f t="shared" si="122"/>
        <v>0.18990956232750458</v>
      </c>
      <c r="O226" s="11"/>
      <c r="P226" s="7">
        <v>14118.19</v>
      </c>
      <c r="Q226" s="2"/>
      <c r="R226" s="6">
        <f t="shared" si="123"/>
        <v>2.5488184415880925E-3</v>
      </c>
      <c r="S226" s="2"/>
      <c r="T226" s="7">
        <v>16910.75</v>
      </c>
      <c r="U226" s="2"/>
      <c r="V226" s="6">
        <f t="shared" si="124"/>
        <v>3.2015961636408597E-3</v>
      </c>
      <c r="W226" s="2"/>
      <c r="X226" s="7">
        <f t="shared" si="125"/>
        <v>-2792.5599999999995</v>
      </c>
      <c r="Y226" s="2"/>
      <c r="Z226" s="6">
        <f t="shared" si="126"/>
        <v>-0.1651351950682258</v>
      </c>
    </row>
    <row r="227" spans="1:26" s="29" customFormat="1" outlineLevel="1" collapsed="1" x14ac:dyDescent="0.3">
      <c r="A227" s="28"/>
      <c r="B227" s="14" t="str">
        <f>CONCATENATE("     ","Training                                          ")</f>
        <v xml:space="preserve">     Training                                          </v>
      </c>
      <c r="C227" s="14"/>
      <c r="D227" s="1">
        <f>SUM(OSRRefD22_22x_0)</f>
        <v>0</v>
      </c>
      <c r="E227" s="1"/>
      <c r="F227" s="5">
        <f t="shared" ref="F227:F232" si="127">IF(D$12=0,0,D227/D$12)</f>
        <v>0</v>
      </c>
      <c r="G227" s="1"/>
      <c r="H227" s="1">
        <f>SUM(OSRRefH22_22x_0)</f>
        <v>0</v>
      </c>
      <c r="I227" s="1"/>
      <c r="J227" s="5">
        <f t="shared" ref="J227:J232" si="128">IF(H$12=0,0,H227/H$12)</f>
        <v>0</v>
      </c>
      <c r="K227" s="1"/>
      <c r="L227" s="1">
        <f t="shared" ref="L227:L232" si="129">+D227-H227</f>
        <v>0</v>
      </c>
      <c r="M227" s="1"/>
      <c r="N227" s="5">
        <f t="shared" ref="N227:N232" si="130">IF(H227=0,0,L227/H227)</f>
        <v>0</v>
      </c>
      <c r="O227" s="14"/>
      <c r="P227" s="1">
        <f>SUM(OSRRefP22_22x_0)</f>
        <v>595</v>
      </c>
      <c r="Q227" s="1"/>
      <c r="R227" s="5">
        <f t="shared" ref="R227:R232" si="131">IF(P$12=0,0,P227/P$12)</f>
        <v>1.0741794612092025E-4</v>
      </c>
      <c r="S227" s="1"/>
      <c r="T227" s="1">
        <f>SUM(OSRRefT22_22x_0)</f>
        <v>245.63</v>
      </c>
      <c r="U227" s="1"/>
      <c r="V227" s="5">
        <f t="shared" ref="V227:V232" si="132">IF(T$12=0,0,T227/T$12)</f>
        <v>4.6503441046381998E-5</v>
      </c>
      <c r="W227" s="1"/>
      <c r="X227" s="1">
        <f t="shared" ref="X227:X232" si="133">+P227-T227</f>
        <v>349.37</v>
      </c>
      <c r="Y227" s="1"/>
      <c r="Z227" s="5">
        <f t="shared" ref="Z227:Z232" si="134">IF(T227=0,0,X227/T227)</f>
        <v>1.4223425477343974</v>
      </c>
    </row>
    <row r="228" spans="1:26" s="24" customFormat="1" hidden="1" outlineLevel="2" x14ac:dyDescent="0.3">
      <c r="A228" s="27"/>
      <c r="B228" s="11" t="str">
        <f>CONCATENATE("          ", "6376", " - ", "TRAINING")</f>
        <v xml:space="preserve">          6376 - TRAINING</v>
      </c>
      <c r="C228" s="11"/>
      <c r="D228" s="7"/>
      <c r="E228" s="2"/>
      <c r="F228" s="6">
        <f t="shared" si="127"/>
        <v>0</v>
      </c>
      <c r="G228" s="2"/>
      <c r="H228" s="7"/>
      <c r="I228" s="2"/>
      <c r="J228" s="6">
        <f t="shared" si="128"/>
        <v>0</v>
      </c>
      <c r="K228" s="2"/>
      <c r="L228" s="7">
        <f t="shared" si="129"/>
        <v>0</v>
      </c>
      <c r="M228" s="2"/>
      <c r="N228" s="6">
        <f t="shared" si="130"/>
        <v>0</v>
      </c>
      <c r="O228" s="11"/>
      <c r="P228" s="7">
        <v>595</v>
      </c>
      <c r="Q228" s="2"/>
      <c r="R228" s="6">
        <f t="shared" si="131"/>
        <v>1.0741794612092025E-4</v>
      </c>
      <c r="S228" s="2"/>
      <c r="T228" s="7">
        <v>245.63</v>
      </c>
      <c r="U228" s="2"/>
      <c r="V228" s="6">
        <f t="shared" si="132"/>
        <v>4.6503441046381998E-5</v>
      </c>
      <c r="W228" s="2"/>
      <c r="X228" s="7">
        <f t="shared" si="133"/>
        <v>349.37</v>
      </c>
      <c r="Y228" s="2"/>
      <c r="Z228" s="6">
        <f t="shared" si="134"/>
        <v>1.4223425477343974</v>
      </c>
    </row>
    <row r="229" spans="1:26" s="29" customFormat="1" outlineLevel="1" collapsed="1" x14ac:dyDescent="0.3">
      <c r="A229" s="28"/>
      <c r="B229" s="14" t="str">
        <f>CONCATENATE("     ","Travel                                            ")</f>
        <v xml:space="preserve">     Travel                                            </v>
      </c>
      <c r="C229" s="14"/>
      <c r="D229" s="1">
        <f>SUM(OSRRefD22_23x_0)</f>
        <v>0</v>
      </c>
      <c r="E229" s="1"/>
      <c r="F229" s="5">
        <f t="shared" si="127"/>
        <v>0</v>
      </c>
      <c r="G229" s="1"/>
      <c r="H229" s="1">
        <f>SUM(OSRRefH22_23x_0)</f>
        <v>129.38</v>
      </c>
      <c r="I229" s="1"/>
      <c r="J229" s="5">
        <f t="shared" si="128"/>
        <v>9.8913197927296778E-5</v>
      </c>
      <c r="K229" s="1"/>
      <c r="L229" s="1">
        <f t="shared" si="129"/>
        <v>-129.38</v>
      </c>
      <c r="M229" s="1"/>
      <c r="N229" s="5">
        <f t="shared" si="130"/>
        <v>-1</v>
      </c>
      <c r="O229" s="14"/>
      <c r="P229" s="1">
        <f>SUM(OSRRefP22_23x_0)</f>
        <v>882.0100000000001</v>
      </c>
      <c r="Q229" s="1"/>
      <c r="R229" s="5">
        <f t="shared" si="131"/>
        <v>1.5923311371111409E-4</v>
      </c>
      <c r="S229" s="1"/>
      <c r="T229" s="1">
        <f>SUM(OSRRefT22_23x_0)</f>
        <v>810.31000000000006</v>
      </c>
      <c r="U229" s="1"/>
      <c r="V229" s="5">
        <f t="shared" si="132"/>
        <v>1.534104275304067E-4</v>
      </c>
      <c r="W229" s="1"/>
      <c r="X229" s="1">
        <f t="shared" si="133"/>
        <v>71.700000000000045</v>
      </c>
      <c r="Y229" s="1"/>
      <c r="Z229" s="5">
        <f t="shared" si="134"/>
        <v>8.8484654021300541E-2</v>
      </c>
    </row>
    <row r="230" spans="1:26" s="24" customFormat="1" hidden="1" outlineLevel="2" x14ac:dyDescent="0.3">
      <c r="A230" s="27"/>
      <c r="B230" s="11" t="str">
        <f>CONCATENATE("          ", "6292", " - ", "TRAVEL/CONFERENCE")</f>
        <v xml:space="preserve">          6292 - TRAVEL/CONFERENCE</v>
      </c>
      <c r="C230" s="11"/>
      <c r="D230" s="7"/>
      <c r="E230" s="2"/>
      <c r="F230" s="6">
        <f t="shared" si="127"/>
        <v>0</v>
      </c>
      <c r="G230" s="2"/>
      <c r="H230" s="7"/>
      <c r="I230" s="2"/>
      <c r="J230" s="6">
        <f t="shared" si="128"/>
        <v>0</v>
      </c>
      <c r="K230" s="2"/>
      <c r="L230" s="7">
        <f t="shared" si="129"/>
        <v>0</v>
      </c>
      <c r="M230" s="2"/>
      <c r="N230" s="6">
        <f t="shared" si="130"/>
        <v>0</v>
      </c>
      <c r="O230" s="11"/>
      <c r="P230" s="7">
        <v>495</v>
      </c>
      <c r="Q230" s="2"/>
      <c r="R230" s="6">
        <f t="shared" si="131"/>
        <v>8.9364509798076509E-5</v>
      </c>
      <c r="S230" s="2"/>
      <c r="T230" s="7">
        <v>299.16000000000003</v>
      </c>
      <c r="U230" s="2"/>
      <c r="V230" s="6">
        <f t="shared" si="132"/>
        <v>5.6637908331374993E-5</v>
      </c>
      <c r="W230" s="2"/>
      <c r="X230" s="7">
        <f t="shared" si="133"/>
        <v>195.83999999999997</v>
      </c>
      <c r="Y230" s="2"/>
      <c r="Z230" s="6">
        <f t="shared" si="134"/>
        <v>0.65463297232250284</v>
      </c>
    </row>
    <row r="231" spans="1:26" s="24" customFormat="1" hidden="1" outlineLevel="2" x14ac:dyDescent="0.3">
      <c r="A231" s="27"/>
      <c r="B231" s="11" t="str">
        <f>CONCATENATE("          ", "6294", " - ", "TRAVEL OPERATIONAL")</f>
        <v xml:space="preserve">          6294 - TRAVEL OPERATIONAL</v>
      </c>
      <c r="C231" s="11"/>
      <c r="D231" s="7"/>
      <c r="E231" s="2"/>
      <c r="F231" s="6">
        <f t="shared" si="127"/>
        <v>0</v>
      </c>
      <c r="G231" s="2"/>
      <c r="H231" s="7">
        <v>129.38</v>
      </c>
      <c r="I231" s="2"/>
      <c r="J231" s="6">
        <f t="shared" si="128"/>
        <v>9.8913197927296778E-5</v>
      </c>
      <c r="K231" s="2"/>
      <c r="L231" s="7">
        <f t="shared" si="129"/>
        <v>-129.38</v>
      </c>
      <c r="M231" s="2"/>
      <c r="N231" s="6">
        <f t="shared" si="130"/>
        <v>-1</v>
      </c>
      <c r="O231" s="11"/>
      <c r="P231" s="7">
        <v>239.93</v>
      </c>
      <c r="Q231" s="2"/>
      <c r="R231" s="6">
        <f t="shared" si="131"/>
        <v>4.3315609769398983E-5</v>
      </c>
      <c r="S231" s="2"/>
      <c r="T231" s="7">
        <v>451.26</v>
      </c>
      <c r="U231" s="2"/>
      <c r="V231" s="6">
        <f t="shared" si="132"/>
        <v>8.5433956791069245E-5</v>
      </c>
      <c r="W231" s="2"/>
      <c r="X231" s="7">
        <f t="shared" si="133"/>
        <v>-211.32999999999998</v>
      </c>
      <c r="Y231" s="2"/>
      <c r="Z231" s="6">
        <f t="shared" si="134"/>
        <v>-0.46831095155786018</v>
      </c>
    </row>
    <row r="232" spans="1:26" s="24" customFormat="1" hidden="1" outlineLevel="2" x14ac:dyDescent="0.3">
      <c r="A232" s="27"/>
      <c r="B232" s="11" t="str">
        <f>CONCATENATE("          ", "6298", " - ", "VEHICLE MILEAGE")</f>
        <v xml:space="preserve">          6298 - VEHICLE MILEAGE</v>
      </c>
      <c r="C232" s="11"/>
      <c r="D232" s="7"/>
      <c r="E232" s="2"/>
      <c r="F232" s="6">
        <f t="shared" si="127"/>
        <v>0</v>
      </c>
      <c r="G232" s="2"/>
      <c r="H232" s="7"/>
      <c r="I232" s="2"/>
      <c r="J232" s="6">
        <f t="shared" si="128"/>
        <v>0</v>
      </c>
      <c r="K232" s="2"/>
      <c r="L232" s="7">
        <f t="shared" si="129"/>
        <v>0</v>
      </c>
      <c r="M232" s="2"/>
      <c r="N232" s="6">
        <f t="shared" si="130"/>
        <v>0</v>
      </c>
      <c r="O232" s="11"/>
      <c r="P232" s="7">
        <v>147.08000000000001</v>
      </c>
      <c r="Q232" s="2"/>
      <c r="R232" s="6">
        <f t="shared" si="131"/>
        <v>2.6552994143638575E-5</v>
      </c>
      <c r="S232" s="2"/>
      <c r="T232" s="7">
        <v>59.89</v>
      </c>
      <c r="U232" s="2"/>
      <c r="V232" s="6">
        <f t="shared" si="132"/>
        <v>1.1338562407962455E-5</v>
      </c>
      <c r="W232" s="2"/>
      <c r="X232" s="7">
        <f t="shared" si="133"/>
        <v>87.190000000000012</v>
      </c>
      <c r="Y232" s="2"/>
      <c r="Z232" s="6">
        <f t="shared" si="134"/>
        <v>1.455835698781099</v>
      </c>
    </row>
    <row r="233" spans="1:26" s="29" customFormat="1" outlineLevel="1" collapsed="1" x14ac:dyDescent="0.3">
      <c r="A233" s="28"/>
      <c r="B233" s="14" t="str">
        <f>CONCATENATE("     ","Utilities                                         ")</f>
        <v xml:space="preserve">     Utilities                                         </v>
      </c>
      <c r="C233" s="14"/>
      <c r="D233" s="1">
        <f>SUM(OSRRefD22_24x_0)</f>
        <v>6292.91</v>
      </c>
      <c r="E233" s="1"/>
      <c r="F233" s="5">
        <f t="shared" ref="F233:F234" si="135">IF(D$12=0,0,D233/D$12)</f>
        <v>6.9051822186019267E-3</v>
      </c>
      <c r="G233" s="1"/>
      <c r="H233" s="1">
        <f>SUM(OSRRefH22_24x_0)</f>
        <v>6165.61</v>
      </c>
      <c r="I233" s="1"/>
      <c r="J233" s="5">
        <f t="shared" ref="J233:J234" si="136">IF(H$12=0,0,H233/H$12)</f>
        <v>4.7137131107784841E-3</v>
      </c>
      <c r="K233" s="1"/>
      <c r="L233" s="1">
        <f t="shared" ref="L233:L234" si="137">+D233-H233</f>
        <v>127.30000000000018</v>
      </c>
      <c r="M233" s="1"/>
      <c r="N233" s="5">
        <f t="shared" ref="N233:N234" si="138">IF(H233=0,0,L233/H233)</f>
        <v>2.0646781097085315E-2</v>
      </c>
      <c r="O233" s="14"/>
      <c r="P233" s="1">
        <f>SUM(OSRRefP22_24x_0)</f>
        <v>36539.42</v>
      </c>
      <c r="Q233" s="1"/>
      <c r="R233" s="5">
        <f t="shared" ref="R233:R234" si="139">IF(P$12=0,0,P233/P$12)</f>
        <v>6.5966209224364294E-3</v>
      </c>
      <c r="S233" s="1"/>
      <c r="T233" s="1">
        <f>SUM(OSRRefT22_24x_0)</f>
        <v>42927.03</v>
      </c>
      <c r="U233" s="1"/>
      <c r="V233" s="5">
        <f t="shared" ref="V233:V234" si="140">IF(T$12=0,0,T233/T$12)</f>
        <v>8.1270797903402331E-3</v>
      </c>
      <c r="W233" s="1"/>
      <c r="X233" s="1">
        <f t="shared" ref="X233:X234" si="141">+P233-T233</f>
        <v>-6387.6100000000006</v>
      </c>
      <c r="Y233" s="1"/>
      <c r="Z233" s="5">
        <f t="shared" ref="Z233:Z234" si="142">IF(T233=0,0,X233/T233)</f>
        <v>-0.1488015825925996</v>
      </c>
    </row>
    <row r="234" spans="1:26" s="24" customFormat="1" hidden="1" outlineLevel="2" x14ac:dyDescent="0.3">
      <c r="A234" s="27"/>
      <c r="B234" s="11" t="str">
        <f>CONCATENATE("          ", "6274", " - ", "UTILITIES")</f>
        <v xml:space="preserve">          6274 - UTILITIES</v>
      </c>
      <c r="C234" s="11"/>
      <c r="D234" s="7">
        <v>6292.91</v>
      </c>
      <c r="E234" s="2"/>
      <c r="F234" s="6">
        <f t="shared" si="135"/>
        <v>6.9051822186019267E-3</v>
      </c>
      <c r="G234" s="2"/>
      <c r="H234" s="7">
        <v>6165.61</v>
      </c>
      <c r="I234" s="2"/>
      <c r="J234" s="6">
        <f t="shared" si="136"/>
        <v>4.7137131107784841E-3</v>
      </c>
      <c r="K234" s="2"/>
      <c r="L234" s="7">
        <f t="shared" si="137"/>
        <v>127.30000000000018</v>
      </c>
      <c r="M234" s="2"/>
      <c r="N234" s="6">
        <f t="shared" si="138"/>
        <v>2.0646781097085315E-2</v>
      </c>
      <c r="O234" s="11"/>
      <c r="P234" s="7">
        <v>36539.42</v>
      </c>
      <c r="Q234" s="2"/>
      <c r="R234" s="6">
        <f t="shared" si="139"/>
        <v>6.5966209224364294E-3</v>
      </c>
      <c r="S234" s="2"/>
      <c r="T234" s="7">
        <v>42927.03</v>
      </c>
      <c r="U234" s="2"/>
      <c r="V234" s="6">
        <f t="shared" si="140"/>
        <v>8.1270797903402331E-3</v>
      </c>
      <c r="W234" s="2"/>
      <c r="X234" s="7">
        <f t="shared" si="141"/>
        <v>-6387.6100000000006</v>
      </c>
      <c r="Y234" s="2"/>
      <c r="Z234" s="6">
        <f t="shared" si="142"/>
        <v>-0.1488015825925996</v>
      </c>
    </row>
    <row r="235" spans="1:26" s="52" customFormat="1" x14ac:dyDescent="0.3">
      <c r="A235" s="37"/>
      <c r="B235" s="37"/>
      <c r="C235" s="37"/>
      <c r="D235" s="1"/>
      <c r="E235" s="1"/>
      <c r="F235" s="5"/>
      <c r="G235" s="1"/>
      <c r="H235" s="1"/>
      <c r="I235" s="1"/>
      <c r="J235" s="5"/>
      <c r="K235" s="1"/>
      <c r="L235" s="1"/>
      <c r="M235" s="1"/>
      <c r="N235" s="5"/>
      <c r="O235" s="37"/>
      <c r="P235" s="1"/>
      <c r="Q235" s="1"/>
      <c r="R235" s="5"/>
      <c r="S235" s="1"/>
      <c r="T235" s="1"/>
      <c r="U235" s="1"/>
      <c r="V235" s="5"/>
      <c r="W235" s="1"/>
      <c r="X235" s="1"/>
      <c r="Y235" s="1"/>
      <c r="Z235" s="5"/>
    </row>
    <row r="236" spans="1:26" s="23" customFormat="1" collapsed="1" x14ac:dyDescent="0.3">
      <c r="A236" s="10"/>
      <c r="B236" s="26" t="s">
        <v>292</v>
      </c>
      <c r="C236" s="10"/>
      <c r="D236" s="4">
        <f>SUM(OSRRefD25x_0)</f>
        <v>47232.42</v>
      </c>
      <c r="E236" s="4"/>
      <c r="F236" s="12">
        <f t="shared" ref="F236:F242" si="143">IF(D$12=0,0,D236/D$12)</f>
        <v>5.1827924875063845E-2</v>
      </c>
      <c r="G236" s="4"/>
      <c r="H236" s="4">
        <f>SUM(OSRRefH25x_0)</f>
        <v>32275.280000000002</v>
      </c>
      <c r="I236" s="4"/>
      <c r="J236" s="12">
        <f t="shared" ref="J236:J242" si="144">IF(H$12=0,0,H236/H$12)</f>
        <v>2.4674997362798913E-2</v>
      </c>
      <c r="K236" s="4"/>
      <c r="L236" s="4">
        <f t="shared" ref="L236:L242" si="145">+D236-H236</f>
        <v>14957.139999999996</v>
      </c>
      <c r="M236" s="4"/>
      <c r="N236" s="12">
        <f t="shared" ref="N236:N242" si="146">IF(H236=0,0,L236/H236)</f>
        <v>0.46342401986907611</v>
      </c>
      <c r="O236" s="10"/>
      <c r="P236" s="4">
        <f>SUM(OSRRefP25x_0)</f>
        <v>519739.17</v>
      </c>
      <c r="Q236" s="4"/>
      <c r="R236" s="12">
        <f t="shared" ref="R236:R242" si="147">IF(P$12=0,0,P236/P$12)</f>
        <v>9.3830780100826572E-2</v>
      </c>
      <c r="S236" s="4"/>
      <c r="T236" s="4">
        <f>SUM(OSRRefT25x_0)</f>
        <v>577007.65</v>
      </c>
      <c r="U236" s="4"/>
      <c r="V236" s="12">
        <f t="shared" ref="V236:V242" si="148">IF(T$12=0,0,T236/T$12)</f>
        <v>0.10924089579891064</v>
      </c>
      <c r="W236" s="4"/>
      <c r="X236" s="4">
        <f t="shared" ref="X236:X242" si="149">+P236-T236</f>
        <v>-57268.48000000004</v>
      </c>
      <c r="Y236" s="4"/>
      <c r="Z236" s="12">
        <f t="shared" ref="Z236:Z242" si="150">IF(T236=0,0,X236/T236)</f>
        <v>-9.92508158254055E-2</v>
      </c>
    </row>
    <row r="237" spans="1:26" s="24" customFormat="1" hidden="1" outlineLevel="1" x14ac:dyDescent="0.3">
      <c r="A237" s="44"/>
      <c r="B237" s="11" t="str">
        <f>CONCATENATE("          ", "4187", " - ", "NON-TAXABLE SALES-COMPUTER REP")</f>
        <v xml:space="preserve">          4187 - NON-TAXABLE SALES-COMPUTER REP</v>
      </c>
      <c r="C237" s="11"/>
      <c r="D237" s="2">
        <f>0</f>
        <v>0</v>
      </c>
      <c r="E237" s="2"/>
      <c r="F237" s="19">
        <f t="shared" si="143"/>
        <v>0</v>
      </c>
      <c r="G237" s="2"/>
      <c r="H237" s="2">
        <f>--651.37</f>
        <v>651.37</v>
      </c>
      <c r="I237" s="2"/>
      <c r="J237" s="19">
        <f t="shared" si="144"/>
        <v>4.9798338022803603E-4</v>
      </c>
      <c r="K237" s="2"/>
      <c r="L237" s="2">
        <f t="shared" si="145"/>
        <v>-651.37</v>
      </c>
      <c r="M237" s="2"/>
      <c r="N237" s="19">
        <f t="shared" si="146"/>
        <v>-1</v>
      </c>
      <c r="O237" s="11"/>
      <c r="P237" s="2">
        <f>0</f>
        <v>0</v>
      </c>
      <c r="Q237" s="2"/>
      <c r="R237" s="19">
        <f t="shared" si="147"/>
        <v>0</v>
      </c>
      <c r="S237" s="2"/>
      <c r="T237" s="2">
        <f>--1685.87</f>
        <v>1685.87</v>
      </c>
      <c r="U237" s="2"/>
      <c r="V237" s="19">
        <f t="shared" si="148"/>
        <v>3.1917418945920291E-4</v>
      </c>
      <c r="W237" s="2"/>
      <c r="X237" s="2">
        <f t="shared" si="149"/>
        <v>-1685.87</v>
      </c>
      <c r="Y237" s="2"/>
      <c r="Z237" s="19">
        <f t="shared" si="150"/>
        <v>-1</v>
      </c>
    </row>
    <row r="238" spans="1:26" s="24" customFormat="1" hidden="1" outlineLevel="1" x14ac:dyDescent="0.3">
      <c r="A238" s="44"/>
      <c r="B238" s="11" t="str">
        <f>CONCATENATE("          ", "9087", " - ", "")</f>
        <v xml:space="preserve">          9087 - </v>
      </c>
      <c r="C238" s="11"/>
      <c r="D238" s="2">
        <f>--1293.31</f>
        <v>1293.31</v>
      </c>
      <c r="E238" s="2"/>
      <c r="F238" s="19">
        <f t="shared" si="143"/>
        <v>1.4191433240170379E-3</v>
      </c>
      <c r="G238" s="2"/>
      <c r="H238" s="2">
        <f>0</f>
        <v>0</v>
      </c>
      <c r="I238" s="2"/>
      <c r="J238" s="19">
        <f t="shared" si="144"/>
        <v>0</v>
      </c>
      <c r="K238" s="2"/>
      <c r="L238" s="2">
        <f t="shared" si="145"/>
        <v>1293.31</v>
      </c>
      <c r="M238" s="2"/>
      <c r="N238" s="19">
        <f t="shared" si="146"/>
        <v>0</v>
      </c>
      <c r="O238" s="11"/>
      <c r="P238" s="2">
        <f>--1631.01</f>
        <v>1631.01</v>
      </c>
      <c r="Q238" s="2"/>
      <c r="R238" s="19">
        <f t="shared" si="147"/>
        <v>2.9445335176921366E-4</v>
      </c>
      <c r="S238" s="2"/>
      <c r="T238" s="2">
        <f>0</f>
        <v>0</v>
      </c>
      <c r="U238" s="2"/>
      <c r="V238" s="19">
        <f t="shared" si="148"/>
        <v>0</v>
      </c>
      <c r="W238" s="2"/>
      <c r="X238" s="2">
        <f t="shared" si="149"/>
        <v>1631.01</v>
      </c>
      <c r="Y238" s="2"/>
      <c r="Z238" s="19">
        <f t="shared" si="150"/>
        <v>0</v>
      </c>
    </row>
    <row r="239" spans="1:26" s="24" customFormat="1" hidden="1" outlineLevel="1" x14ac:dyDescent="0.3">
      <c r="A239" s="44"/>
      <c r="B239" s="11" t="str">
        <f>CONCATENATE("          ", "9150", " - ", "MISC. INCOME")</f>
        <v xml:space="preserve">          9150 - MISC. INCOME</v>
      </c>
      <c r="C239" s="11"/>
      <c r="D239" s="2">
        <f>--35586.42</f>
        <v>35586.42</v>
      </c>
      <c r="E239" s="2"/>
      <c r="F239" s="19">
        <f t="shared" si="143"/>
        <v>3.9048820753466995E-2</v>
      </c>
      <c r="G239" s="2"/>
      <c r="H239" s="2">
        <f>--29505.58</f>
        <v>29505.58</v>
      </c>
      <c r="I239" s="2"/>
      <c r="J239" s="19">
        <f t="shared" si="144"/>
        <v>2.2557514874785047E-2</v>
      </c>
      <c r="K239" s="2"/>
      <c r="L239" s="2">
        <f t="shared" si="145"/>
        <v>6080.8399999999965</v>
      </c>
      <c r="M239" s="2"/>
      <c r="N239" s="19">
        <f t="shared" si="146"/>
        <v>0.20609118681957772</v>
      </c>
      <c r="O239" s="11"/>
      <c r="P239" s="2">
        <f>--263416.81</f>
        <v>263416.81</v>
      </c>
      <c r="Q239" s="2"/>
      <c r="R239" s="19">
        <f t="shared" si="147"/>
        <v>4.7555786057016276E-2</v>
      </c>
      <c r="S239" s="2"/>
      <c r="T239" s="2">
        <f>--247426.29</f>
        <v>247426.29</v>
      </c>
      <c r="U239" s="2"/>
      <c r="V239" s="19">
        <f t="shared" si="148"/>
        <v>4.6843520296136532E-2</v>
      </c>
      <c r="W239" s="2"/>
      <c r="X239" s="2">
        <f t="shared" si="149"/>
        <v>15990.51999999999</v>
      </c>
      <c r="Y239" s="2"/>
      <c r="Z239" s="19">
        <f t="shared" si="150"/>
        <v>6.4627408833555999E-2</v>
      </c>
    </row>
    <row r="240" spans="1:26" s="24" customFormat="1" hidden="1" outlineLevel="1" x14ac:dyDescent="0.3">
      <c r="A240" s="44"/>
      <c r="B240" s="11" t="str">
        <f>CONCATENATE("          ", "9151", " - ", "MISC. INCOME")</f>
        <v xml:space="preserve">          9151 - MISC. INCOME</v>
      </c>
      <c r="C240" s="11"/>
      <c r="D240" s="2">
        <f>--2958.75</f>
        <v>2958.75</v>
      </c>
      <c r="E240" s="2"/>
      <c r="F240" s="19">
        <f t="shared" si="143"/>
        <v>3.2466232457302666E-3</v>
      </c>
      <c r="G240" s="2"/>
      <c r="H240" s="2">
        <f>--1972</f>
        <v>1972</v>
      </c>
      <c r="I240" s="2"/>
      <c r="J240" s="19">
        <f t="shared" si="144"/>
        <v>1.5076273482194252E-3</v>
      </c>
      <c r="K240" s="2"/>
      <c r="L240" s="2">
        <f t="shared" si="145"/>
        <v>986.75</v>
      </c>
      <c r="M240" s="2"/>
      <c r="N240" s="19">
        <f t="shared" si="146"/>
        <v>0.50038032454361059</v>
      </c>
      <c r="O240" s="11"/>
      <c r="P240" s="2">
        <f>--171422.11</f>
        <v>171422.11</v>
      </c>
      <c r="Q240" s="2"/>
      <c r="R240" s="19">
        <f t="shared" si="147"/>
        <v>3.0947581472125146E-2</v>
      </c>
      <c r="S240" s="2"/>
      <c r="T240" s="2">
        <f>--149257.39</f>
        <v>149257.39000000001</v>
      </c>
      <c r="U240" s="2"/>
      <c r="V240" s="19">
        <f t="shared" si="148"/>
        <v>2.8257876629898003E-2</v>
      </c>
      <c r="W240" s="2"/>
      <c r="X240" s="2">
        <f t="shared" si="149"/>
        <v>22164.719999999972</v>
      </c>
      <c r="Y240" s="2"/>
      <c r="Z240" s="19">
        <f t="shared" si="150"/>
        <v>0.14849998381989643</v>
      </c>
    </row>
    <row r="241" spans="1:26" s="24" customFormat="1" hidden="1" outlineLevel="1" x14ac:dyDescent="0.3">
      <c r="A241" s="44"/>
      <c r="B241" s="11" t="str">
        <f>CONCATENATE("          ", "9152", " - ", "MISC. INCOME")</f>
        <v xml:space="preserve">          9152 - MISC. INCOME</v>
      </c>
      <c r="C241" s="11"/>
      <c r="D241" s="2">
        <f>--366.44</f>
        <v>366.44</v>
      </c>
      <c r="E241" s="2"/>
      <c r="F241" s="19">
        <f t="shared" si="143"/>
        <v>4.02092985945213E-4</v>
      </c>
      <c r="G241" s="2"/>
      <c r="H241" s="2">
        <f>--146.33</f>
        <v>146.33000000000001</v>
      </c>
      <c r="I241" s="2"/>
      <c r="J241" s="19">
        <f t="shared" si="144"/>
        <v>1.1187175956640391E-4</v>
      </c>
      <c r="K241" s="2"/>
      <c r="L241" s="2">
        <f t="shared" si="145"/>
        <v>220.10999999999999</v>
      </c>
      <c r="M241" s="2"/>
      <c r="N241" s="19">
        <f t="shared" si="146"/>
        <v>1.5042028292216221</v>
      </c>
      <c r="O241" s="11"/>
      <c r="P241" s="2">
        <f>--3493.54</f>
        <v>3493.54</v>
      </c>
      <c r="Q241" s="2"/>
      <c r="R241" s="19">
        <f t="shared" si="147"/>
        <v>6.3070401931307517E-4</v>
      </c>
      <c r="S241" s="2"/>
      <c r="T241" s="2">
        <f>--3232.26</f>
        <v>3232.26</v>
      </c>
      <c r="U241" s="2"/>
      <c r="V241" s="19">
        <f t="shared" si="148"/>
        <v>6.1194158839139633E-4</v>
      </c>
      <c r="W241" s="2"/>
      <c r="X241" s="2">
        <f t="shared" si="149"/>
        <v>261.27999999999975</v>
      </c>
      <c r="Y241" s="2"/>
      <c r="Z241" s="19">
        <f t="shared" si="150"/>
        <v>8.0835081336278564E-2</v>
      </c>
    </row>
    <row r="242" spans="1:26" s="24" customFormat="1" hidden="1" outlineLevel="1" x14ac:dyDescent="0.3">
      <c r="A242" s="44"/>
      <c r="B242" s="11" t="str">
        <f>CONCATENATE("          ", "9163", " - ", "MISC. INCOME")</f>
        <v xml:space="preserve">          9163 - MISC. INCOME</v>
      </c>
      <c r="C242" s="11"/>
      <c r="D242" s="2">
        <f>--7027.5</f>
        <v>7027.5</v>
      </c>
      <c r="E242" s="2"/>
      <c r="F242" s="19">
        <f t="shared" si="143"/>
        <v>7.7112445659043346E-3</v>
      </c>
      <c r="G242" s="2"/>
      <c r="H242" s="2">
        <f>0</f>
        <v>0</v>
      </c>
      <c r="I242" s="2"/>
      <c r="J242" s="19">
        <f t="shared" si="144"/>
        <v>0</v>
      </c>
      <c r="K242" s="2"/>
      <c r="L242" s="2">
        <f t="shared" si="145"/>
        <v>7027.5</v>
      </c>
      <c r="M242" s="2"/>
      <c r="N242" s="19">
        <f t="shared" si="146"/>
        <v>0</v>
      </c>
      <c r="O242" s="11"/>
      <c r="P242" s="2">
        <f>--79775.7</f>
        <v>79775.7</v>
      </c>
      <c r="Q242" s="2"/>
      <c r="R242" s="19">
        <f t="shared" si="147"/>
        <v>1.4402255200602853E-2</v>
      </c>
      <c r="S242" s="2"/>
      <c r="T242" s="2">
        <f>--175405.84</f>
        <v>175405.84</v>
      </c>
      <c r="U242" s="2"/>
      <c r="V242" s="19">
        <f t="shared" si="148"/>
        <v>3.3208383095025495E-2</v>
      </c>
      <c r="W242" s="2"/>
      <c r="X242" s="2">
        <f t="shared" si="149"/>
        <v>-95630.14</v>
      </c>
      <c r="Y242" s="2"/>
      <c r="Z242" s="19">
        <f t="shared" si="150"/>
        <v>-0.54519359218598429</v>
      </c>
    </row>
    <row r="243" spans="1:26" x14ac:dyDescent="0.3">
      <c r="A243" s="9"/>
      <c r="B243" s="10"/>
      <c r="C243" s="10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O243" s="10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x14ac:dyDescent="0.3">
      <c r="A244" s="10"/>
      <c r="B244" s="25" t="s">
        <v>276</v>
      </c>
      <c r="C244" s="25"/>
      <c r="D244" s="21">
        <f>+D144-D146+D236</f>
        <v>2124.7900000001682</v>
      </c>
      <c r="E244" s="13"/>
      <c r="F244" s="22">
        <f>IF(D$12=0,0,D244/D$12)</f>
        <v>2.3315226383762602E-3</v>
      </c>
      <c r="G244" s="13"/>
      <c r="H244" s="21">
        <f>+H144-H146+H236</f>
        <v>144899.95000000022</v>
      </c>
      <c r="I244" s="13"/>
      <c r="J244" s="22">
        <f>IF(H$12=0,0,H244/H$12)</f>
        <v>0.11077846215802618</v>
      </c>
      <c r="K244" s="15"/>
      <c r="L244" s="21">
        <f>+D244-H244</f>
        <v>-142775.16000000003</v>
      </c>
      <c r="M244" s="15"/>
      <c r="N244" s="22">
        <f>IF(H244=0,0,L244/H244)</f>
        <v>-0.98533615781095729</v>
      </c>
      <c r="O244" s="26"/>
      <c r="P244" s="21">
        <f>+P144-P146+P236</f>
        <v>115912.24999999866</v>
      </c>
      <c r="Q244" s="13"/>
      <c r="R244" s="22">
        <f>IF(P$12=0,0,P244/P$12)</f>
        <v>2.09261442441252E-2</v>
      </c>
      <c r="S244" s="13"/>
      <c r="T244" s="21">
        <f>+T144-T146+T236</f>
        <v>25349.629999998608</v>
      </c>
      <c r="U244" s="13"/>
      <c r="V244" s="22">
        <f>IF(T$12=0,0,T244/T$12)</f>
        <v>4.7992713603897397E-3</v>
      </c>
      <c r="W244" s="15"/>
      <c r="X244" s="21">
        <f>+P244-T244</f>
        <v>90562.620000000054</v>
      </c>
      <c r="Y244" s="15"/>
      <c r="Z244" s="22">
        <f>IF(T244=0,0,X244/T244)</f>
        <v>3.5725420844408786</v>
      </c>
    </row>
    <row r="245" spans="1:26" x14ac:dyDescent="0.3">
      <c r="A245" s="9"/>
      <c r="B245" s="10"/>
      <c r="C245" s="9"/>
      <c r="D245" s="3"/>
      <c r="E245" s="3"/>
      <c r="F245" s="8"/>
      <c r="G245" s="3"/>
      <c r="H245" s="3"/>
      <c r="I245" s="3"/>
      <c r="J245" s="8"/>
      <c r="K245" s="3"/>
      <c r="L245" s="3"/>
      <c r="M245" s="3"/>
      <c r="N245" s="8"/>
      <c r="P245" s="3"/>
      <c r="Q245" s="3"/>
      <c r="R245" s="8"/>
      <c r="S245" s="3"/>
      <c r="T245" s="3"/>
      <c r="U245" s="3"/>
      <c r="V245" s="8"/>
      <c r="W245" s="3"/>
      <c r="X245" s="3"/>
      <c r="Y245" s="3"/>
      <c r="Z245" s="8"/>
    </row>
    <row r="246" spans="1:26" s="23" customFormat="1" x14ac:dyDescent="0.3">
      <c r="A246" s="51"/>
      <c r="B246" s="10" t="s">
        <v>127</v>
      </c>
      <c r="C246" s="10"/>
      <c r="D246" s="4">
        <v>176148.12</v>
      </c>
      <c r="E246" s="4"/>
      <c r="F246" s="12">
        <f>IF(D$12=0,0,D246/D$12)</f>
        <v>0.19328655042963566</v>
      </c>
      <c r="G246" s="4"/>
      <c r="H246" s="4">
        <v>223551.56</v>
      </c>
      <c r="I246" s="4"/>
      <c r="J246" s="12">
        <f>IF(H$12=0,0,H246/H$12)</f>
        <v>0.1709089480695313</v>
      </c>
      <c r="K246" s="4"/>
      <c r="L246" s="4">
        <f>+D246-H246</f>
        <v>-47403.44</v>
      </c>
      <c r="M246" s="4"/>
      <c r="N246" s="12">
        <f>IF(H246=0,0,L246/H246)</f>
        <v>-0.21204701054199757</v>
      </c>
      <c r="O246" s="10"/>
      <c r="P246" s="4">
        <v>733197.73</v>
      </c>
      <c r="Q246" s="4"/>
      <c r="R246" s="12">
        <f>IF(P$12=0,0,P246/P$12)</f>
        <v>0.13236738530608577</v>
      </c>
      <c r="S246" s="4"/>
      <c r="T246" s="4">
        <v>958818.15</v>
      </c>
      <c r="U246" s="4"/>
      <c r="V246" s="12">
        <f>IF(T$12=0,0,T246/T$12)</f>
        <v>0.18152645569647866</v>
      </c>
      <c r="W246" s="4"/>
      <c r="X246" s="4">
        <f>+P246-T246</f>
        <v>-225620.42000000004</v>
      </c>
      <c r="Y246" s="4"/>
      <c r="Z246" s="12">
        <f>IF(T246=0,0,X246/T246)</f>
        <v>-0.23531096068634083</v>
      </c>
    </row>
    <row r="247" spans="1:26" x14ac:dyDescent="0.3">
      <c r="A247" s="9"/>
      <c r="B247" s="10"/>
      <c r="C247" s="10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O247" s="10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ht="15" thickBot="1" x14ac:dyDescent="0.35">
      <c r="A248" s="10"/>
      <c r="B248" s="25" t="s">
        <v>125</v>
      </c>
      <c r="C248" s="25"/>
      <c r="D248" s="36">
        <f>+D244-D246</f>
        <v>-174023.32999999984</v>
      </c>
      <c r="E248" s="13"/>
      <c r="F248" s="31">
        <f>IF(D$12=0,0,D248/D$12)</f>
        <v>-0.19095502779125942</v>
      </c>
      <c r="G248" s="13"/>
      <c r="H248" s="36">
        <f>+H244-H246</f>
        <v>-78651.609999999782</v>
      </c>
      <c r="I248" s="13"/>
      <c r="J248" s="31">
        <f>IF(H$12=0,0,H248/H$12)</f>
        <v>-6.0130485911505126E-2</v>
      </c>
      <c r="K248" s="15"/>
      <c r="L248" s="36">
        <f>D248-H248</f>
        <v>-95371.720000000059</v>
      </c>
      <c r="M248" s="15"/>
      <c r="N248" s="31">
        <f>IF(H248=0,0,L248/H248)</f>
        <v>1.2125844594916788</v>
      </c>
      <c r="O248" s="26"/>
      <c r="P248" s="36">
        <f>+P244-P246</f>
        <v>-617285.48000000138</v>
      </c>
      <c r="Q248" s="13"/>
      <c r="R248" s="31">
        <f>IF(P$12=0,0,P248/P$12)</f>
        <v>-0.11144124106196057</v>
      </c>
      <c r="S248" s="13"/>
      <c r="T248" s="36">
        <f>+T244-T246</f>
        <v>-933468.52000000142</v>
      </c>
      <c r="U248" s="13"/>
      <c r="V248" s="31">
        <f>IF(T$12=0,0,T248/T$12)</f>
        <v>-0.17672718433608892</v>
      </c>
      <c r="W248" s="15"/>
      <c r="X248" s="36">
        <f>P248-T248</f>
        <v>316183.04000000004</v>
      </c>
      <c r="Y248" s="15"/>
      <c r="Z248" s="31">
        <f>IF(T248=0,0,X248/T248)</f>
        <v>-0.33871848190445625</v>
      </c>
    </row>
    <row r="249" spans="1:26" ht="15" thickTop="1" x14ac:dyDescent="0.3">
      <c r="A249" s="9"/>
      <c r="B249" s="9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x14ac:dyDescent="0.3">
      <c r="A250" s="9"/>
      <c r="B250" s="9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ht="15" thickBot="1" x14ac:dyDescent="0.35">
      <c r="A251" s="10"/>
      <c r="B251" s="25" t="s">
        <v>293</v>
      </c>
      <c r="C251" s="25"/>
      <c r="D251" s="35">
        <f>SUM(D248:D250)</f>
        <v>-174023.32999999984</v>
      </c>
      <c r="E251" s="13"/>
      <c r="F251" s="32">
        <f>IF(D$12=0,0,D251/D$12)</f>
        <v>-0.19095502779125942</v>
      </c>
      <c r="G251" s="13"/>
      <c r="H251" s="35">
        <f>SUM(H248:H250)</f>
        <v>-78651.609999999782</v>
      </c>
      <c r="I251" s="13"/>
      <c r="J251" s="32">
        <f>IF(H$12=0,0,H251/H$12)</f>
        <v>-6.0130485911505126E-2</v>
      </c>
      <c r="K251" s="15"/>
      <c r="L251" s="35">
        <f>+D251-H251</f>
        <v>-95371.720000000059</v>
      </c>
      <c r="M251" s="15"/>
      <c r="N251" s="32">
        <f>IF(H251=0,0,L251/H251)</f>
        <v>1.2125844594916788</v>
      </c>
      <c r="O251" s="26"/>
      <c r="P251" s="35">
        <f>SUM(P248:P250)</f>
        <v>-617285.48000000138</v>
      </c>
      <c r="Q251" s="13"/>
      <c r="R251" s="32">
        <f>IF(P$12=0,0,P251/P$12)</f>
        <v>-0.11144124106196057</v>
      </c>
      <c r="S251" s="13"/>
      <c r="T251" s="35">
        <f>SUM(T248:T250)</f>
        <v>-933468.52000000142</v>
      </c>
      <c r="U251" s="13"/>
      <c r="V251" s="32">
        <f>IF(T$12=0,0,T251/T$12)</f>
        <v>-0.17672718433608892</v>
      </c>
      <c r="W251" s="15"/>
      <c r="X251" s="35">
        <f>+P251-T251</f>
        <v>316183.04000000004</v>
      </c>
      <c r="Y251" s="15"/>
      <c r="Z251" s="32">
        <f>IF(T251=0,0,X251/T251)</f>
        <v>-0.33871848190445625</v>
      </c>
    </row>
    <row r="252" spans="1:26" ht="15" thickTop="1" x14ac:dyDescent="0.3">
      <c r="A252" s="9"/>
      <c r="C252" s="9"/>
      <c r="D252" s="17"/>
      <c r="E252" s="17"/>
      <c r="G252" s="17"/>
      <c r="H252" s="17"/>
      <c r="I252" s="17"/>
      <c r="J252" s="42"/>
      <c r="K252" s="17"/>
      <c r="L252" s="17"/>
      <c r="M252" s="17"/>
      <c r="P252" s="17"/>
      <c r="Q252" s="17"/>
      <c r="R252" s="42"/>
      <c r="S252" s="17"/>
      <c r="T252" s="17"/>
      <c r="U252" s="17"/>
      <c r="V252" s="42"/>
      <c r="W252" s="17"/>
      <c r="X252" s="17"/>
    </row>
    <row r="253" spans="1:26" x14ac:dyDescent="0.3">
      <c r="A253" s="9"/>
      <c r="B253" s="54">
        <v>44604.028445335651</v>
      </c>
      <c r="D253" s="17"/>
      <c r="E253" s="17"/>
      <c r="G253" s="17"/>
      <c r="H253" s="17"/>
      <c r="I253" s="17"/>
      <c r="J253" s="42"/>
      <c r="K253" s="17"/>
      <c r="L253" s="17"/>
      <c r="M253" s="17"/>
      <c r="P253" s="17"/>
      <c r="Q253" s="17"/>
      <c r="R253" s="42"/>
      <c r="S253" s="17"/>
      <c r="T253" s="17"/>
      <c r="U253" s="17"/>
      <c r="V253" s="42"/>
      <c r="W253" s="17"/>
      <c r="X253" s="17"/>
    </row>
    <row r="254" spans="1:26" x14ac:dyDescent="0.3">
      <c r="A254" s="9"/>
      <c r="B254" s="53" t="s">
        <v>56</v>
      </c>
      <c r="D254" s="17"/>
      <c r="E254" s="17"/>
      <c r="G254" s="17"/>
      <c r="H254" s="17"/>
      <c r="I254" s="17"/>
      <c r="J254" s="42"/>
      <c r="K254" s="17"/>
      <c r="L254" s="17"/>
      <c r="M254" s="17"/>
      <c r="P254" s="17"/>
      <c r="Q254" s="17"/>
      <c r="R254" s="42"/>
      <c r="S254" s="17"/>
      <c r="T254" s="17"/>
      <c r="U254" s="17"/>
      <c r="V254" s="42"/>
      <c r="W254" s="17"/>
      <c r="X254" s="17"/>
    </row>
    <row r="255" spans="1:26" x14ac:dyDescent="0.3">
      <c r="A255" s="9"/>
      <c r="B255" s="59"/>
      <c r="D255" s="17"/>
      <c r="E255" s="17"/>
      <c r="G255" s="17"/>
      <c r="H255" s="17"/>
      <c r="I255" s="17"/>
      <c r="J255" s="42"/>
      <c r="K255" s="17"/>
      <c r="L255" s="17"/>
      <c r="M255" s="17"/>
      <c r="P255" s="17"/>
      <c r="Q255" s="17"/>
      <c r="R255" s="42"/>
      <c r="S255" s="17"/>
      <c r="T255" s="17"/>
      <c r="U255" s="17"/>
      <c r="V255" s="42"/>
      <c r="W255" s="17"/>
      <c r="X255" s="17"/>
    </row>
    <row r="256" spans="1:26" x14ac:dyDescent="0.3">
      <c r="D256" s="17"/>
      <c r="E256" s="17"/>
      <c r="G256" s="17"/>
      <c r="H256" s="17"/>
      <c r="I256" s="17"/>
      <c r="J256" s="42"/>
      <c r="K256" s="17"/>
      <c r="L256" s="17"/>
      <c r="M256" s="17"/>
      <c r="P256" s="17"/>
      <c r="Q256" s="17"/>
      <c r="R256" s="42"/>
      <c r="S256" s="17"/>
      <c r="T256" s="17"/>
      <c r="U256" s="17"/>
      <c r="V256" s="42"/>
      <c r="W256" s="17"/>
      <c r="X256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","301", " - ", "Bookstore Operations")</f>
        <v>Department 301 - Bookstore Operations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6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5"/>
      <c r="X17" s="21">
        <f>+P17-T17</f>
        <v>0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150583.76000000007</v>
      </c>
      <c r="E19" s="20"/>
      <c r="F19" s="30">
        <f t="shared" ref="F19:F30" si="8">IF(D$12=0,0,D19/D$12)</f>
        <v>0</v>
      </c>
      <c r="G19" s="20"/>
      <c r="H19" s="20">
        <f>SUM(OSRRefH22x_0)</f>
        <v>142959.37</v>
      </c>
      <c r="I19" s="20"/>
      <c r="J19" s="30">
        <f t="shared" ref="J19:J30" si="9">IF(H$12=0,0,H19/H$12)</f>
        <v>0</v>
      </c>
      <c r="K19" s="4"/>
      <c r="L19" s="20">
        <f t="shared" ref="L19:L30" si="10">+D19-H19</f>
        <v>7624.3900000000722</v>
      </c>
      <c r="M19" s="4"/>
      <c r="N19" s="30">
        <f t="shared" ref="N19:N30" si="11">IF(H19=0,0,L19/H19)</f>
        <v>5.333256574927598E-2</v>
      </c>
      <c r="O19" s="10"/>
      <c r="P19" s="20">
        <f>SUM(OSRRefP22x_0)</f>
        <v>1012952.82</v>
      </c>
      <c r="Q19" s="20"/>
      <c r="R19" s="30">
        <f t="shared" ref="R19:R30" si="12">IF(P$12=0,0,P19/P$12)</f>
        <v>0</v>
      </c>
      <c r="S19" s="20"/>
      <c r="T19" s="20">
        <f>SUM(OSRRefT22x_0)</f>
        <v>876047.51000000024</v>
      </c>
      <c r="U19" s="20"/>
      <c r="V19" s="30">
        <f t="shared" ref="V19:V30" si="13">IF(T$12=0,0,T19/T$12)</f>
        <v>0</v>
      </c>
      <c r="W19" s="4"/>
      <c r="X19" s="20">
        <f t="shared" ref="X19:X30" si="14">+P19-T19</f>
        <v>136905.30999999971</v>
      </c>
      <c r="Y19" s="4"/>
      <c r="Z19" s="30">
        <f t="shared" ref="Z19:Z30" si="15">IF(T19=0,0,X19/T19)</f>
        <v>0.15627612479601669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17114.54</v>
      </c>
      <c r="E20" s="1"/>
      <c r="F20" s="5">
        <f t="shared" si="8"/>
        <v>0</v>
      </c>
      <c r="G20" s="1"/>
      <c r="H20" s="1">
        <f>SUM(OSRRefH22_0x_0)</f>
        <v>12177.93</v>
      </c>
      <c r="I20" s="1"/>
      <c r="J20" s="5">
        <f t="shared" si="9"/>
        <v>0</v>
      </c>
      <c r="K20" s="1"/>
      <c r="L20" s="1">
        <f t="shared" si="10"/>
        <v>4936.6100000000006</v>
      </c>
      <c r="M20" s="1"/>
      <c r="N20" s="5">
        <f t="shared" si="11"/>
        <v>0.4053734912255203</v>
      </c>
      <c r="O20" s="14"/>
      <c r="P20" s="1">
        <f>SUM(OSRRefP22_0x_0)</f>
        <v>102570.83000000002</v>
      </c>
      <c r="Q20" s="1"/>
      <c r="R20" s="5">
        <f t="shared" si="12"/>
        <v>0</v>
      </c>
      <c r="S20" s="1"/>
      <c r="T20" s="1">
        <f>SUM(OSRRefT22_0x_0)</f>
        <v>62811.819999999992</v>
      </c>
      <c r="U20" s="1"/>
      <c r="V20" s="5">
        <f t="shared" si="13"/>
        <v>0</v>
      </c>
      <c r="W20" s="1"/>
      <c r="X20" s="1">
        <f t="shared" si="14"/>
        <v>39759.010000000024</v>
      </c>
      <c r="Y20" s="1"/>
      <c r="Z20" s="5">
        <f t="shared" si="15"/>
        <v>0.63298611630740886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2137.65</v>
      </c>
      <c r="E21" s="2"/>
      <c r="F21" s="6">
        <f t="shared" si="8"/>
        <v>0</v>
      </c>
      <c r="G21" s="2"/>
      <c r="H21" s="7">
        <v>2086.96</v>
      </c>
      <c r="I21" s="2"/>
      <c r="J21" s="6">
        <f t="shared" si="9"/>
        <v>0</v>
      </c>
      <c r="K21" s="2"/>
      <c r="L21" s="7">
        <f t="shared" si="10"/>
        <v>50.690000000000055</v>
      </c>
      <c r="M21" s="2"/>
      <c r="N21" s="6">
        <f t="shared" si="11"/>
        <v>2.4288917851803607E-2</v>
      </c>
      <c r="O21" s="11"/>
      <c r="P21" s="7">
        <v>18584.18</v>
      </c>
      <c r="Q21" s="2"/>
      <c r="R21" s="6">
        <f t="shared" si="12"/>
        <v>0</v>
      </c>
      <c r="S21" s="2"/>
      <c r="T21" s="7">
        <v>17100.080000000002</v>
      </c>
      <c r="U21" s="2"/>
      <c r="V21" s="6">
        <f t="shared" si="13"/>
        <v>0</v>
      </c>
      <c r="W21" s="2"/>
      <c r="X21" s="7">
        <f t="shared" si="14"/>
        <v>1484.0999999999985</v>
      </c>
      <c r="Y21" s="2"/>
      <c r="Z21" s="6">
        <f t="shared" si="15"/>
        <v>8.678906765348457E-2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817.81</v>
      </c>
      <c r="E22" s="2"/>
      <c r="F22" s="6">
        <f t="shared" si="8"/>
        <v>0</v>
      </c>
      <c r="G22" s="2"/>
      <c r="H22" s="7">
        <v>602.88</v>
      </c>
      <c r="I22" s="2"/>
      <c r="J22" s="6">
        <f t="shared" si="9"/>
        <v>0</v>
      </c>
      <c r="K22" s="2"/>
      <c r="L22" s="7">
        <f t="shared" si="10"/>
        <v>214.92999999999995</v>
      </c>
      <c r="M22" s="2"/>
      <c r="N22" s="6">
        <f t="shared" si="11"/>
        <v>0.35650544055201688</v>
      </c>
      <c r="O22" s="11"/>
      <c r="P22" s="7">
        <v>5401.07</v>
      </c>
      <c r="Q22" s="2"/>
      <c r="R22" s="6">
        <f t="shared" si="12"/>
        <v>0</v>
      </c>
      <c r="S22" s="2"/>
      <c r="T22" s="7">
        <v>5231.95</v>
      </c>
      <c r="U22" s="2"/>
      <c r="V22" s="6">
        <f t="shared" si="13"/>
        <v>0</v>
      </c>
      <c r="W22" s="2"/>
      <c r="X22" s="7">
        <f t="shared" si="14"/>
        <v>169.11999999999989</v>
      </c>
      <c r="Y22" s="2"/>
      <c r="Z22" s="6">
        <f t="shared" si="15"/>
        <v>3.232446793260637E-2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4880.57</v>
      </c>
      <c r="E23" s="2"/>
      <c r="F23" s="6">
        <f t="shared" si="8"/>
        <v>0</v>
      </c>
      <c r="G23" s="2"/>
      <c r="H23" s="7">
        <v>5096.28</v>
      </c>
      <c r="I23" s="2"/>
      <c r="J23" s="6">
        <f t="shared" si="9"/>
        <v>0</v>
      </c>
      <c r="K23" s="2"/>
      <c r="L23" s="7">
        <f t="shared" si="10"/>
        <v>-215.71000000000004</v>
      </c>
      <c r="M23" s="2"/>
      <c r="N23" s="6">
        <f t="shared" si="11"/>
        <v>-4.2326952208277417E-2</v>
      </c>
      <c r="O23" s="11"/>
      <c r="P23" s="7">
        <v>37281.65</v>
      </c>
      <c r="Q23" s="2"/>
      <c r="R23" s="6">
        <f t="shared" si="12"/>
        <v>0</v>
      </c>
      <c r="S23" s="2"/>
      <c r="T23" s="7">
        <v>14948.01</v>
      </c>
      <c r="U23" s="2"/>
      <c r="V23" s="6">
        <f t="shared" si="13"/>
        <v>0</v>
      </c>
      <c r="W23" s="2"/>
      <c r="X23" s="7">
        <f t="shared" si="14"/>
        <v>22333.64</v>
      </c>
      <c r="Y23" s="2"/>
      <c r="Z23" s="6">
        <f t="shared" si="15"/>
        <v>1.4940878417929877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145.5</v>
      </c>
      <c r="E24" s="2"/>
      <c r="F24" s="6">
        <f t="shared" si="8"/>
        <v>0</v>
      </c>
      <c r="G24" s="2"/>
      <c r="H24" s="7">
        <v>220.75</v>
      </c>
      <c r="I24" s="2"/>
      <c r="J24" s="6">
        <f t="shared" si="9"/>
        <v>0</v>
      </c>
      <c r="K24" s="2"/>
      <c r="L24" s="7">
        <f t="shared" si="10"/>
        <v>-75.25</v>
      </c>
      <c r="M24" s="2"/>
      <c r="N24" s="6">
        <f t="shared" si="11"/>
        <v>-0.34088335220838051</v>
      </c>
      <c r="O24" s="11"/>
      <c r="P24" s="7">
        <v>964.07</v>
      </c>
      <c r="Q24" s="2"/>
      <c r="R24" s="6">
        <f t="shared" si="12"/>
        <v>0</v>
      </c>
      <c r="S24" s="2"/>
      <c r="T24" s="7">
        <v>820.42</v>
      </c>
      <c r="U24" s="2"/>
      <c r="V24" s="6">
        <f t="shared" si="13"/>
        <v>0</v>
      </c>
      <c r="W24" s="2"/>
      <c r="X24" s="7">
        <f t="shared" si="14"/>
        <v>143.65000000000009</v>
      </c>
      <c r="Y24" s="2"/>
      <c r="Z24" s="6">
        <f t="shared" si="15"/>
        <v>0.17509324492333206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1579.6</v>
      </c>
      <c r="E25" s="2"/>
      <c r="F25" s="6">
        <f t="shared" si="8"/>
        <v>0</v>
      </c>
      <c r="G25" s="2"/>
      <c r="H25" s="7">
        <v>1561.41</v>
      </c>
      <c r="I25" s="2"/>
      <c r="J25" s="6">
        <f t="shared" si="9"/>
        <v>0</v>
      </c>
      <c r="K25" s="2"/>
      <c r="L25" s="7">
        <f t="shared" si="10"/>
        <v>18.189999999999827</v>
      </c>
      <c r="M25" s="2"/>
      <c r="N25" s="6">
        <f t="shared" si="11"/>
        <v>1.1649726849450065E-2</v>
      </c>
      <c r="O25" s="11"/>
      <c r="P25" s="7">
        <v>11573.66</v>
      </c>
      <c r="Q25" s="2"/>
      <c r="R25" s="6">
        <f t="shared" si="12"/>
        <v>0</v>
      </c>
      <c r="S25" s="2"/>
      <c r="T25" s="7">
        <v>9468.89</v>
      </c>
      <c r="U25" s="2"/>
      <c r="V25" s="6">
        <f t="shared" si="13"/>
        <v>0</v>
      </c>
      <c r="W25" s="2"/>
      <c r="X25" s="7">
        <f t="shared" si="14"/>
        <v>2104.7700000000004</v>
      </c>
      <c r="Y25" s="2"/>
      <c r="Z25" s="6">
        <f t="shared" si="15"/>
        <v>0.22228265403864661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401.9</v>
      </c>
      <c r="U26" s="2"/>
      <c r="V26" s="6">
        <f t="shared" si="13"/>
        <v>0</v>
      </c>
      <c r="W26" s="2"/>
      <c r="X26" s="7">
        <f t="shared" si="14"/>
        <v>-401.9</v>
      </c>
      <c r="Y26" s="2"/>
      <c r="Z26" s="6">
        <f t="shared" si="15"/>
        <v>-1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509.36</v>
      </c>
      <c r="E27" s="2"/>
      <c r="F27" s="6">
        <f t="shared" si="8"/>
        <v>0</v>
      </c>
      <c r="G27" s="2"/>
      <c r="H27" s="7">
        <v>209</v>
      </c>
      <c r="I27" s="2"/>
      <c r="J27" s="6">
        <f t="shared" si="9"/>
        <v>0</v>
      </c>
      <c r="K27" s="2"/>
      <c r="L27" s="7">
        <f t="shared" si="10"/>
        <v>300.36</v>
      </c>
      <c r="M27" s="2"/>
      <c r="N27" s="6">
        <f t="shared" si="11"/>
        <v>1.4371291866028708</v>
      </c>
      <c r="O27" s="11"/>
      <c r="P27" s="7">
        <v>2395.8200000000002</v>
      </c>
      <c r="Q27" s="2"/>
      <c r="R27" s="6">
        <f t="shared" si="12"/>
        <v>0</v>
      </c>
      <c r="S27" s="2"/>
      <c r="T27" s="7">
        <v>398.96</v>
      </c>
      <c r="U27" s="2"/>
      <c r="V27" s="6">
        <f t="shared" si="13"/>
        <v>0</v>
      </c>
      <c r="W27" s="2"/>
      <c r="X27" s="7">
        <f t="shared" si="14"/>
        <v>1996.8600000000001</v>
      </c>
      <c r="Y27" s="2"/>
      <c r="Z27" s="6">
        <f t="shared" si="15"/>
        <v>5.0051634249047527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7">
        <v>2847.07</v>
      </c>
      <c r="E28" s="2"/>
      <c r="F28" s="6">
        <f t="shared" si="8"/>
        <v>0</v>
      </c>
      <c r="G28" s="2"/>
      <c r="H28" s="7">
        <v>1307.48</v>
      </c>
      <c r="I28" s="2"/>
      <c r="J28" s="6">
        <f t="shared" si="9"/>
        <v>0</v>
      </c>
      <c r="K28" s="2"/>
      <c r="L28" s="7">
        <f t="shared" si="10"/>
        <v>1539.5900000000001</v>
      </c>
      <c r="M28" s="2"/>
      <c r="N28" s="6">
        <f t="shared" si="11"/>
        <v>1.1775247040107688</v>
      </c>
      <c r="O28" s="11"/>
      <c r="P28" s="7">
        <v>11533.66</v>
      </c>
      <c r="Q28" s="2"/>
      <c r="R28" s="6">
        <f t="shared" si="12"/>
        <v>0</v>
      </c>
      <c r="S28" s="2"/>
      <c r="T28" s="7">
        <v>7882.85</v>
      </c>
      <c r="U28" s="2"/>
      <c r="V28" s="6">
        <f t="shared" si="13"/>
        <v>0</v>
      </c>
      <c r="W28" s="2"/>
      <c r="X28" s="7">
        <f t="shared" si="14"/>
        <v>3650.8099999999995</v>
      </c>
      <c r="Y28" s="2"/>
      <c r="Z28" s="6">
        <f t="shared" si="15"/>
        <v>0.46313325764158891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7">
        <v>3548.69</v>
      </c>
      <c r="E29" s="2"/>
      <c r="F29" s="6">
        <f t="shared" si="8"/>
        <v>0</v>
      </c>
      <c r="G29" s="2"/>
      <c r="H29" s="7">
        <v>832.35</v>
      </c>
      <c r="I29" s="2"/>
      <c r="J29" s="6">
        <f t="shared" si="9"/>
        <v>0</v>
      </c>
      <c r="K29" s="2"/>
      <c r="L29" s="7">
        <f t="shared" si="10"/>
        <v>2716.34</v>
      </c>
      <c r="M29" s="2"/>
      <c r="N29" s="6">
        <f t="shared" si="11"/>
        <v>3.2634588814801466</v>
      </c>
      <c r="O29" s="11"/>
      <c r="P29" s="7">
        <v>10448.35</v>
      </c>
      <c r="Q29" s="2"/>
      <c r="R29" s="6">
        <f t="shared" si="12"/>
        <v>0</v>
      </c>
      <c r="S29" s="2"/>
      <c r="T29" s="7">
        <v>5270.38</v>
      </c>
      <c r="U29" s="2"/>
      <c r="V29" s="6">
        <f t="shared" si="13"/>
        <v>0</v>
      </c>
      <c r="W29" s="2"/>
      <c r="X29" s="7">
        <f t="shared" si="14"/>
        <v>5177.97</v>
      </c>
      <c r="Y29" s="2"/>
      <c r="Z29" s="6">
        <f t="shared" si="15"/>
        <v>0.98246615993533681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648.29</v>
      </c>
      <c r="E30" s="2"/>
      <c r="F30" s="6">
        <f t="shared" si="8"/>
        <v>0</v>
      </c>
      <c r="G30" s="2"/>
      <c r="H30" s="7">
        <v>260.82</v>
      </c>
      <c r="I30" s="2"/>
      <c r="J30" s="6">
        <f t="shared" si="9"/>
        <v>0</v>
      </c>
      <c r="K30" s="2"/>
      <c r="L30" s="7">
        <f t="shared" si="10"/>
        <v>387.46999999999997</v>
      </c>
      <c r="M30" s="2"/>
      <c r="N30" s="6">
        <f t="shared" si="11"/>
        <v>1.485583927612913</v>
      </c>
      <c r="O30" s="11"/>
      <c r="P30" s="7">
        <v>4388.37</v>
      </c>
      <c r="Q30" s="2"/>
      <c r="R30" s="6">
        <f t="shared" si="12"/>
        <v>0</v>
      </c>
      <c r="S30" s="2"/>
      <c r="T30" s="7">
        <v>1288.3800000000001</v>
      </c>
      <c r="U30" s="2"/>
      <c r="V30" s="6">
        <f t="shared" si="13"/>
        <v>0</v>
      </c>
      <c r="W30" s="2"/>
      <c r="X30" s="7">
        <f t="shared" si="14"/>
        <v>3099.99</v>
      </c>
      <c r="Y30" s="2"/>
      <c r="Z30" s="6">
        <f t="shared" si="15"/>
        <v>2.4061146556140267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69805.86</v>
      </c>
      <c r="E31" s="1"/>
      <c r="F31" s="5">
        <f t="shared" ref="F31:F38" si="16">IF(D$12=0,0,D31/D$12)</f>
        <v>0</v>
      </c>
      <c r="G31" s="1"/>
      <c r="H31" s="1">
        <f>SUM(OSRRefH22_1x_0)</f>
        <v>60404.84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9401.0200000000041</v>
      </c>
      <c r="M31" s="1"/>
      <c r="N31" s="5">
        <f t="shared" ref="N31:N38" si="19">IF(H31=0,0,L31/H31)</f>
        <v>0.15563355519193503</v>
      </c>
      <c r="O31" s="14"/>
      <c r="P31" s="1">
        <f>SUM(OSRRefP22_1x_0)</f>
        <v>381421.68000000005</v>
      </c>
      <c r="Q31" s="1"/>
      <c r="R31" s="5">
        <f t="shared" ref="R31:R38" si="20">IF(P$12=0,0,P31/P$12)</f>
        <v>0</v>
      </c>
      <c r="S31" s="1"/>
      <c r="T31" s="1">
        <f>SUM(OSRRefT22_1x_0)</f>
        <v>308590.32000000007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72831.359999999986</v>
      </c>
      <c r="Y31" s="1"/>
      <c r="Z31" s="5">
        <f t="shared" ref="Z31:Z38" si="23">IF(T31=0,0,X31/T31)</f>
        <v>0.23601310630871367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5357.43</v>
      </c>
      <c r="E32" s="2"/>
      <c r="F32" s="6">
        <f t="shared" si="16"/>
        <v>0</v>
      </c>
      <c r="G32" s="2"/>
      <c r="H32" s="7">
        <v>5332.74</v>
      </c>
      <c r="I32" s="2"/>
      <c r="J32" s="6">
        <f t="shared" si="17"/>
        <v>0</v>
      </c>
      <c r="K32" s="2"/>
      <c r="L32" s="7">
        <f t="shared" si="18"/>
        <v>24.690000000000509</v>
      </c>
      <c r="M32" s="2"/>
      <c r="N32" s="6">
        <f t="shared" si="19"/>
        <v>4.6298900752709694E-3</v>
      </c>
      <c r="O32" s="11"/>
      <c r="P32" s="7">
        <v>33692.199999999997</v>
      </c>
      <c r="Q32" s="2"/>
      <c r="R32" s="6">
        <f t="shared" si="20"/>
        <v>0</v>
      </c>
      <c r="S32" s="2"/>
      <c r="T32" s="7">
        <v>30527.17</v>
      </c>
      <c r="U32" s="2"/>
      <c r="V32" s="6">
        <f t="shared" si="21"/>
        <v>0</v>
      </c>
      <c r="W32" s="2"/>
      <c r="X32" s="7">
        <f t="shared" si="22"/>
        <v>3165.0299999999988</v>
      </c>
      <c r="Y32" s="2"/>
      <c r="Z32" s="6">
        <f t="shared" si="23"/>
        <v>0.10367911601370186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13480.02</v>
      </c>
      <c r="E33" s="2"/>
      <c r="F33" s="6">
        <f t="shared" si="16"/>
        <v>0</v>
      </c>
      <c r="G33" s="2"/>
      <c r="H33" s="7">
        <v>11452.71</v>
      </c>
      <c r="I33" s="2"/>
      <c r="J33" s="6">
        <f t="shared" si="17"/>
        <v>0</v>
      </c>
      <c r="K33" s="2"/>
      <c r="L33" s="7">
        <f t="shared" si="18"/>
        <v>2027.3100000000013</v>
      </c>
      <c r="M33" s="2"/>
      <c r="N33" s="6">
        <f t="shared" si="19"/>
        <v>0.17701574561828612</v>
      </c>
      <c r="O33" s="11"/>
      <c r="P33" s="7">
        <v>79032.47</v>
      </c>
      <c r="Q33" s="2"/>
      <c r="R33" s="6">
        <f t="shared" si="20"/>
        <v>0</v>
      </c>
      <c r="S33" s="2"/>
      <c r="T33" s="7">
        <v>63742.8</v>
      </c>
      <c r="U33" s="2"/>
      <c r="V33" s="6">
        <f t="shared" si="21"/>
        <v>0</v>
      </c>
      <c r="W33" s="2"/>
      <c r="X33" s="7">
        <f t="shared" si="22"/>
        <v>15289.669999999998</v>
      </c>
      <c r="Y33" s="2"/>
      <c r="Z33" s="6">
        <f t="shared" si="23"/>
        <v>0.23986505142541586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8139.17</v>
      </c>
      <c r="E34" s="2"/>
      <c r="F34" s="6">
        <f t="shared" si="16"/>
        <v>0</v>
      </c>
      <c r="G34" s="2"/>
      <c r="H34" s="7">
        <v>7157.45</v>
      </c>
      <c r="I34" s="2"/>
      <c r="J34" s="6">
        <f t="shared" si="17"/>
        <v>0</v>
      </c>
      <c r="K34" s="2"/>
      <c r="L34" s="7">
        <f t="shared" si="18"/>
        <v>981.72000000000025</v>
      </c>
      <c r="M34" s="2"/>
      <c r="N34" s="6">
        <f t="shared" si="19"/>
        <v>0.13716058093315361</v>
      </c>
      <c r="O34" s="11"/>
      <c r="P34" s="7">
        <v>50762.22</v>
      </c>
      <c r="Q34" s="2"/>
      <c r="R34" s="6">
        <f t="shared" si="20"/>
        <v>0</v>
      </c>
      <c r="S34" s="2"/>
      <c r="T34" s="7">
        <v>16464.330000000002</v>
      </c>
      <c r="U34" s="2"/>
      <c r="V34" s="6">
        <f t="shared" si="21"/>
        <v>0</v>
      </c>
      <c r="W34" s="2"/>
      <c r="X34" s="7">
        <f t="shared" si="22"/>
        <v>34297.89</v>
      </c>
      <c r="Y34" s="2"/>
      <c r="Z34" s="6">
        <f t="shared" si="23"/>
        <v>2.083163420558261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2175.8000000000002</v>
      </c>
      <c r="E35" s="2"/>
      <c r="F35" s="6">
        <f t="shared" si="16"/>
        <v>0</v>
      </c>
      <c r="G35" s="2"/>
      <c r="H35" s="7">
        <v>6800.16</v>
      </c>
      <c r="I35" s="2"/>
      <c r="J35" s="6">
        <f t="shared" si="17"/>
        <v>0</v>
      </c>
      <c r="K35" s="2"/>
      <c r="L35" s="7">
        <f t="shared" si="18"/>
        <v>-4624.3599999999997</v>
      </c>
      <c r="M35" s="2"/>
      <c r="N35" s="6">
        <f t="shared" si="19"/>
        <v>-0.6800369403072869</v>
      </c>
      <c r="O35" s="11"/>
      <c r="P35" s="7">
        <v>20113.47</v>
      </c>
      <c r="Q35" s="2"/>
      <c r="R35" s="6">
        <f t="shared" si="20"/>
        <v>0</v>
      </c>
      <c r="S35" s="2"/>
      <c r="T35" s="7">
        <v>54317.84</v>
      </c>
      <c r="U35" s="2"/>
      <c r="V35" s="6">
        <f t="shared" si="21"/>
        <v>0</v>
      </c>
      <c r="W35" s="2"/>
      <c r="X35" s="7">
        <f t="shared" si="22"/>
        <v>-34204.369999999995</v>
      </c>
      <c r="Y35" s="2"/>
      <c r="Z35" s="6">
        <f t="shared" si="23"/>
        <v>-0.62970784552552161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7">
        <v>2092.35</v>
      </c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2092.35</v>
      </c>
      <c r="M36" s="2"/>
      <c r="N36" s="6">
        <f t="shared" si="19"/>
        <v>0</v>
      </c>
      <c r="O36" s="11"/>
      <c r="P36" s="7">
        <v>11969.97</v>
      </c>
      <c r="Q36" s="2"/>
      <c r="R36" s="6">
        <f t="shared" si="20"/>
        <v>0</v>
      </c>
      <c r="S36" s="2"/>
      <c r="T36" s="7">
        <v>9485.67</v>
      </c>
      <c r="U36" s="2"/>
      <c r="V36" s="6">
        <f t="shared" si="21"/>
        <v>0</v>
      </c>
      <c r="W36" s="2"/>
      <c r="X36" s="7">
        <f t="shared" si="22"/>
        <v>2484.2999999999993</v>
      </c>
      <c r="Y36" s="2"/>
      <c r="Z36" s="6">
        <f t="shared" si="23"/>
        <v>0.26190031911293554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7">
        <v>37537.79</v>
      </c>
      <c r="E37" s="2"/>
      <c r="F37" s="6">
        <f t="shared" si="16"/>
        <v>0</v>
      </c>
      <c r="G37" s="2"/>
      <c r="H37" s="7">
        <v>29661.78</v>
      </c>
      <c r="I37" s="2"/>
      <c r="J37" s="6">
        <f t="shared" si="17"/>
        <v>0</v>
      </c>
      <c r="K37" s="2"/>
      <c r="L37" s="7">
        <f t="shared" si="18"/>
        <v>7876.010000000002</v>
      </c>
      <c r="M37" s="2"/>
      <c r="N37" s="6">
        <f t="shared" si="19"/>
        <v>0.26552722055116051</v>
      </c>
      <c r="O37" s="11"/>
      <c r="P37" s="7">
        <v>174216.82</v>
      </c>
      <c r="Q37" s="2"/>
      <c r="R37" s="6">
        <f t="shared" si="20"/>
        <v>0</v>
      </c>
      <c r="S37" s="2"/>
      <c r="T37" s="7">
        <v>134052.51</v>
      </c>
      <c r="U37" s="2"/>
      <c r="V37" s="6">
        <f t="shared" si="21"/>
        <v>0</v>
      </c>
      <c r="W37" s="2"/>
      <c r="X37" s="7">
        <f t="shared" si="22"/>
        <v>40164.31</v>
      </c>
      <c r="Y37" s="2"/>
      <c r="Z37" s="6">
        <f t="shared" si="23"/>
        <v>0.29961624739439785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>
        <v>1023.3</v>
      </c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1023.3</v>
      </c>
      <c r="M38" s="2"/>
      <c r="N38" s="6">
        <f t="shared" si="19"/>
        <v>0</v>
      </c>
      <c r="O38" s="11"/>
      <c r="P38" s="7">
        <v>11634.53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11634.53</v>
      </c>
      <c r="Y38" s="2"/>
      <c r="Z38" s="6">
        <f t="shared" si="23"/>
        <v>0</v>
      </c>
    </row>
    <row r="39" spans="1:26" s="29" customFormat="1" outlineLevel="1" collapsed="1" x14ac:dyDescent="0.3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-526.38</v>
      </c>
      <c r="E39" s="1"/>
      <c r="F39" s="5">
        <f t="shared" ref="F39:F43" si="24">IF(D$12=0,0,D39/D$12)</f>
        <v>0</v>
      </c>
      <c r="G39" s="1"/>
      <c r="H39" s="1">
        <f>SUM(OSRRefH22_2x_0)</f>
        <v>125</v>
      </c>
      <c r="I39" s="1"/>
      <c r="J39" s="5">
        <f t="shared" ref="J39:J43" si="25">IF(H$12=0,0,H39/H$12)</f>
        <v>0</v>
      </c>
      <c r="K39" s="1"/>
      <c r="L39" s="1">
        <f t="shared" ref="L39:L43" si="26">+D39-H39</f>
        <v>-651.38</v>
      </c>
      <c r="M39" s="1"/>
      <c r="N39" s="5">
        <f t="shared" ref="N39:N43" si="27">IF(H39=0,0,L39/H39)</f>
        <v>-5.2110399999999997</v>
      </c>
      <c r="O39" s="14"/>
      <c r="P39" s="1">
        <f>SUM(OSRRefP22_2x_0)</f>
        <v>-366.38</v>
      </c>
      <c r="Q39" s="1"/>
      <c r="R39" s="5">
        <f t="shared" ref="R39:R43" si="28">IF(P$12=0,0,P39/P$12)</f>
        <v>0</v>
      </c>
      <c r="S39" s="1"/>
      <c r="T39" s="1">
        <f>SUM(OSRRefT22_2x_0)</f>
        <v>225</v>
      </c>
      <c r="U39" s="1"/>
      <c r="V39" s="5">
        <f t="shared" ref="V39:V43" si="29">IF(T$12=0,0,T39/T$12)</f>
        <v>0</v>
      </c>
      <c r="W39" s="1"/>
      <c r="X39" s="1">
        <f t="shared" ref="X39:X43" si="30">+P39-T39</f>
        <v>-591.38</v>
      </c>
      <c r="Y39" s="1"/>
      <c r="Z39" s="5">
        <f t="shared" ref="Z39:Z43" si="31">IF(T39=0,0,X39/T39)</f>
        <v>-2.6283555555555553</v>
      </c>
    </row>
    <row r="40" spans="1:26" s="24" customFormat="1" hidden="1" outlineLevel="2" x14ac:dyDescent="0.3">
      <c r="A40" s="27"/>
      <c r="B40" s="11" t="str">
        <f>CONCATENATE("          ", "6362", " - ", "ADVERTISING EXPENSE")</f>
        <v xml:space="preserve">          6362 - ADVERTISING EXPENSE</v>
      </c>
      <c r="C40" s="11"/>
      <c r="D40" s="7">
        <v>-526.38</v>
      </c>
      <c r="E40" s="2"/>
      <c r="F40" s="6">
        <f t="shared" si="24"/>
        <v>0</v>
      </c>
      <c r="G40" s="2"/>
      <c r="H40" s="7">
        <v>125</v>
      </c>
      <c r="I40" s="2"/>
      <c r="J40" s="6">
        <f t="shared" si="25"/>
        <v>0</v>
      </c>
      <c r="K40" s="2"/>
      <c r="L40" s="7">
        <f t="shared" si="26"/>
        <v>-651.38</v>
      </c>
      <c r="M40" s="2"/>
      <c r="N40" s="6">
        <f t="shared" si="27"/>
        <v>-5.2110399999999997</v>
      </c>
      <c r="O40" s="11"/>
      <c r="P40" s="7">
        <v>-366.38</v>
      </c>
      <c r="Q40" s="2"/>
      <c r="R40" s="6">
        <f t="shared" si="28"/>
        <v>0</v>
      </c>
      <c r="S40" s="2"/>
      <c r="T40" s="7">
        <v>225</v>
      </c>
      <c r="U40" s="2"/>
      <c r="V40" s="6">
        <f t="shared" si="29"/>
        <v>0</v>
      </c>
      <c r="W40" s="2"/>
      <c r="X40" s="7">
        <f t="shared" si="30"/>
        <v>-591.38</v>
      </c>
      <c r="Y40" s="2"/>
      <c r="Z40" s="6">
        <f t="shared" si="31"/>
        <v>-2.6283555555555553</v>
      </c>
    </row>
    <row r="41" spans="1:26" s="29" customFormat="1" outlineLevel="1" collapsed="1" x14ac:dyDescent="0.3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5.92</v>
      </c>
      <c r="E41" s="1"/>
      <c r="F41" s="5">
        <f t="shared" si="24"/>
        <v>0</v>
      </c>
      <c r="G41" s="1"/>
      <c r="H41" s="1">
        <f>SUM(OSRRefH22_3x_0)</f>
        <v>1872.51</v>
      </c>
      <c r="I41" s="1"/>
      <c r="J41" s="5">
        <f t="shared" si="25"/>
        <v>0</v>
      </c>
      <c r="K41" s="1"/>
      <c r="L41" s="1">
        <f t="shared" si="26"/>
        <v>-1866.59</v>
      </c>
      <c r="M41" s="1"/>
      <c r="N41" s="5">
        <f t="shared" si="27"/>
        <v>-0.99683846815237298</v>
      </c>
      <c r="O41" s="14"/>
      <c r="P41" s="1">
        <f>SUM(OSRRefP22_3x_0)</f>
        <v>172.46</v>
      </c>
      <c r="Q41" s="1"/>
      <c r="R41" s="5">
        <f t="shared" si="28"/>
        <v>0</v>
      </c>
      <c r="S41" s="1"/>
      <c r="T41" s="1">
        <f>SUM(OSRRefT22_3x_0)</f>
        <v>1918.76</v>
      </c>
      <c r="U41" s="1"/>
      <c r="V41" s="5">
        <f t="shared" si="29"/>
        <v>0</v>
      </c>
      <c r="W41" s="1"/>
      <c r="X41" s="1">
        <f t="shared" si="30"/>
        <v>-1746.3</v>
      </c>
      <c r="Y41" s="1"/>
      <c r="Z41" s="5">
        <f t="shared" si="31"/>
        <v>-0.91011903521023996</v>
      </c>
    </row>
    <row r="42" spans="1:26" s="24" customFormat="1" hidden="1" outlineLevel="2" x14ac:dyDescent="0.3">
      <c r="A42" s="27"/>
      <c r="B42" s="11" t="str">
        <f>CONCATENATE("          ", "6272", " - ", "CASH (OVER/SHORT)")</f>
        <v xml:space="preserve">          6272 - CASH (OVER/SHORT)</v>
      </c>
      <c r="C42" s="11"/>
      <c r="D42" s="7">
        <v>5.92</v>
      </c>
      <c r="E42" s="2"/>
      <c r="F42" s="6">
        <f t="shared" si="24"/>
        <v>0</v>
      </c>
      <c r="G42" s="2"/>
      <c r="H42" s="7">
        <v>-124.27</v>
      </c>
      <c r="I42" s="2"/>
      <c r="J42" s="6">
        <f t="shared" si="25"/>
        <v>0</v>
      </c>
      <c r="K42" s="2"/>
      <c r="L42" s="7">
        <f t="shared" si="26"/>
        <v>130.19</v>
      </c>
      <c r="M42" s="2"/>
      <c r="N42" s="6">
        <f t="shared" si="27"/>
        <v>-1.0476382071296371</v>
      </c>
      <c r="O42" s="11"/>
      <c r="P42" s="7">
        <v>172.46</v>
      </c>
      <c r="Q42" s="2"/>
      <c r="R42" s="6">
        <f t="shared" si="28"/>
        <v>0</v>
      </c>
      <c r="S42" s="2"/>
      <c r="T42" s="7">
        <v>-78.02</v>
      </c>
      <c r="U42" s="2"/>
      <c r="V42" s="6">
        <f t="shared" si="29"/>
        <v>0</v>
      </c>
      <c r="W42" s="2"/>
      <c r="X42" s="7">
        <f t="shared" si="30"/>
        <v>250.48000000000002</v>
      </c>
      <c r="Y42" s="2"/>
      <c r="Z42" s="6">
        <f t="shared" si="31"/>
        <v>-3.2104588567034096</v>
      </c>
    </row>
    <row r="43" spans="1:26" s="24" customFormat="1" hidden="1" outlineLevel="2" x14ac:dyDescent="0.3">
      <c r="A43" s="27"/>
      <c r="B43" s="11" t="str">
        <f>CONCATENATE("          ", "6342", " - ", "BAD DEBT")</f>
        <v xml:space="preserve">          6342 - BAD DEBT</v>
      </c>
      <c r="C43" s="11"/>
      <c r="D43" s="7"/>
      <c r="E43" s="2"/>
      <c r="F43" s="6">
        <f t="shared" si="24"/>
        <v>0</v>
      </c>
      <c r="G43" s="2"/>
      <c r="H43" s="7">
        <v>1996.78</v>
      </c>
      <c r="I43" s="2"/>
      <c r="J43" s="6">
        <f t="shared" si="25"/>
        <v>0</v>
      </c>
      <c r="K43" s="2"/>
      <c r="L43" s="7">
        <f t="shared" si="26"/>
        <v>-1996.78</v>
      </c>
      <c r="M43" s="2"/>
      <c r="N43" s="6">
        <f t="shared" si="27"/>
        <v>-1</v>
      </c>
      <c r="O43" s="11"/>
      <c r="P43" s="7"/>
      <c r="Q43" s="2"/>
      <c r="R43" s="6">
        <f t="shared" si="28"/>
        <v>0</v>
      </c>
      <c r="S43" s="2"/>
      <c r="T43" s="7">
        <v>1996.78</v>
      </c>
      <c r="U43" s="2"/>
      <c r="V43" s="6">
        <f t="shared" si="29"/>
        <v>0</v>
      </c>
      <c r="W43" s="2"/>
      <c r="X43" s="7">
        <f t="shared" si="30"/>
        <v>-1996.78</v>
      </c>
      <c r="Y43" s="2"/>
      <c r="Z43" s="6">
        <f t="shared" si="31"/>
        <v>-1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11917.04</v>
      </c>
      <c r="E44" s="1"/>
      <c r="F44" s="5">
        <f t="shared" ref="F44:F48" si="32">IF(D$12=0,0,D44/D$12)</f>
        <v>0</v>
      </c>
      <c r="G44" s="1"/>
      <c r="H44" s="1">
        <f>SUM(OSRRefH22_4x_0)</f>
        <v>14703.14</v>
      </c>
      <c r="I44" s="1"/>
      <c r="J44" s="5">
        <f t="shared" ref="J44:J48" si="33">IF(H$12=0,0,H44/H$12)</f>
        <v>0</v>
      </c>
      <c r="K44" s="1"/>
      <c r="L44" s="1">
        <f t="shared" ref="L44:L48" si="34">+D44-H44</f>
        <v>-2786.0999999999985</v>
      </c>
      <c r="M44" s="1"/>
      <c r="N44" s="5">
        <f t="shared" ref="N44:N48" si="35">IF(H44=0,0,L44/H44)</f>
        <v>-0.18949013612058369</v>
      </c>
      <c r="O44" s="14"/>
      <c r="P44" s="1">
        <f>SUM(OSRRefP22_4x_0)</f>
        <v>75809.05</v>
      </c>
      <c r="Q44" s="1"/>
      <c r="R44" s="5">
        <f t="shared" ref="R44:R48" si="36">IF(P$12=0,0,P44/P$12)</f>
        <v>0</v>
      </c>
      <c r="S44" s="1"/>
      <c r="T44" s="1">
        <f>SUM(OSRRefT22_4x_0)</f>
        <v>59185.65</v>
      </c>
      <c r="U44" s="1"/>
      <c r="V44" s="5">
        <f t="shared" ref="V44:V48" si="37">IF(T$12=0,0,T44/T$12)</f>
        <v>0</v>
      </c>
      <c r="W44" s="1"/>
      <c r="X44" s="1">
        <f t="shared" ref="X44:X48" si="38">+P44-T44</f>
        <v>16623.400000000001</v>
      </c>
      <c r="Y44" s="1"/>
      <c r="Z44" s="5">
        <f t="shared" ref="Z44:Z48" si="39">IF(T44=0,0,X44/T44)</f>
        <v>0.28086875788303417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11917.04</v>
      </c>
      <c r="E45" s="2"/>
      <c r="F45" s="6">
        <f t="shared" si="32"/>
        <v>0</v>
      </c>
      <c r="G45" s="2"/>
      <c r="H45" s="7">
        <v>14703.14</v>
      </c>
      <c r="I45" s="2"/>
      <c r="J45" s="6">
        <f t="shared" si="33"/>
        <v>0</v>
      </c>
      <c r="K45" s="2"/>
      <c r="L45" s="7">
        <f t="shared" si="34"/>
        <v>-2786.0999999999985</v>
      </c>
      <c r="M45" s="2"/>
      <c r="N45" s="6">
        <f t="shared" si="35"/>
        <v>-0.18949013612058369</v>
      </c>
      <c r="O45" s="11"/>
      <c r="P45" s="7">
        <v>75809.05</v>
      </c>
      <c r="Q45" s="2"/>
      <c r="R45" s="6">
        <f t="shared" si="36"/>
        <v>0</v>
      </c>
      <c r="S45" s="2"/>
      <c r="T45" s="7">
        <v>59185.65</v>
      </c>
      <c r="U45" s="2"/>
      <c r="V45" s="6">
        <f t="shared" si="37"/>
        <v>0</v>
      </c>
      <c r="W45" s="2"/>
      <c r="X45" s="7">
        <f t="shared" si="38"/>
        <v>16623.400000000001</v>
      </c>
      <c r="Y45" s="2"/>
      <c r="Z45" s="6">
        <f t="shared" si="39"/>
        <v>0.28086875788303417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28180.050000000003</v>
      </c>
      <c r="E46" s="1"/>
      <c r="F46" s="5">
        <f t="shared" si="32"/>
        <v>0</v>
      </c>
      <c r="G46" s="1"/>
      <c r="H46" s="1">
        <f>SUM(OSRRefH22_5x_0)</f>
        <v>30565.97</v>
      </c>
      <c r="I46" s="1"/>
      <c r="J46" s="5">
        <f t="shared" si="33"/>
        <v>0</v>
      </c>
      <c r="K46" s="1"/>
      <c r="L46" s="1">
        <f t="shared" si="34"/>
        <v>-2385.9199999999983</v>
      </c>
      <c r="M46" s="1"/>
      <c r="N46" s="5">
        <f t="shared" si="35"/>
        <v>-7.805804952370228E-2</v>
      </c>
      <c r="O46" s="14"/>
      <c r="P46" s="1">
        <f>SUM(OSRRefP22_5x_0)</f>
        <v>211167.35999999999</v>
      </c>
      <c r="Q46" s="1"/>
      <c r="R46" s="5">
        <f t="shared" si="36"/>
        <v>0</v>
      </c>
      <c r="S46" s="1"/>
      <c r="T46" s="1">
        <f>SUM(OSRRefT22_5x_0)</f>
        <v>214257.28</v>
      </c>
      <c r="U46" s="1"/>
      <c r="V46" s="5">
        <f t="shared" si="37"/>
        <v>0</v>
      </c>
      <c r="W46" s="1"/>
      <c r="X46" s="1">
        <f t="shared" si="38"/>
        <v>-3089.9200000000128</v>
      </c>
      <c r="Y46" s="1"/>
      <c r="Z46" s="5">
        <f t="shared" si="39"/>
        <v>-1.4421540308922119E-2</v>
      </c>
    </row>
    <row r="47" spans="1:26" s="24" customFormat="1" hidden="1" outlineLevel="2" x14ac:dyDescent="0.3">
      <c r="A47" s="27"/>
      <c r="B47" s="11" t="str">
        <f>CONCATENATE("          ", "6321", " - ", "BUILDING DEPRECIATION")</f>
        <v xml:space="preserve">          6321 - BUILDING DEPRECIATION</v>
      </c>
      <c r="C47" s="11"/>
      <c r="D47" s="7">
        <v>14131.6</v>
      </c>
      <c r="E47" s="2"/>
      <c r="F47" s="6">
        <f t="shared" si="32"/>
        <v>0</v>
      </c>
      <c r="G47" s="2"/>
      <c r="H47" s="7">
        <v>16396.52</v>
      </c>
      <c r="I47" s="2"/>
      <c r="J47" s="6">
        <f t="shared" si="33"/>
        <v>0</v>
      </c>
      <c r="K47" s="2"/>
      <c r="L47" s="7">
        <f t="shared" si="34"/>
        <v>-2264.92</v>
      </c>
      <c r="M47" s="2"/>
      <c r="N47" s="6">
        <f t="shared" si="35"/>
        <v>-0.13813418944995645</v>
      </c>
      <c r="O47" s="11"/>
      <c r="P47" s="7">
        <v>112510.71</v>
      </c>
      <c r="Q47" s="2"/>
      <c r="R47" s="6">
        <f t="shared" si="36"/>
        <v>0</v>
      </c>
      <c r="S47" s="2"/>
      <c r="T47" s="7">
        <v>114775.64</v>
      </c>
      <c r="U47" s="2"/>
      <c r="V47" s="6">
        <f t="shared" si="37"/>
        <v>0</v>
      </c>
      <c r="W47" s="2"/>
      <c r="X47" s="7">
        <f t="shared" si="38"/>
        <v>-2264.929999999993</v>
      </c>
      <c r="Y47" s="2"/>
      <c r="Z47" s="6">
        <f t="shared" si="39"/>
        <v>-1.973354276220976E-2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14048.45</v>
      </c>
      <c r="E48" s="2"/>
      <c r="F48" s="6">
        <f t="shared" si="32"/>
        <v>0</v>
      </c>
      <c r="G48" s="2"/>
      <c r="H48" s="7">
        <v>14169.45</v>
      </c>
      <c r="I48" s="2"/>
      <c r="J48" s="6">
        <f t="shared" si="33"/>
        <v>0</v>
      </c>
      <c r="K48" s="2"/>
      <c r="L48" s="7">
        <f t="shared" si="34"/>
        <v>-121</v>
      </c>
      <c r="M48" s="2"/>
      <c r="N48" s="6">
        <f t="shared" si="35"/>
        <v>-8.5394987102533973E-3</v>
      </c>
      <c r="O48" s="11"/>
      <c r="P48" s="7">
        <v>98656.65</v>
      </c>
      <c r="Q48" s="2"/>
      <c r="R48" s="6">
        <f t="shared" si="36"/>
        <v>0</v>
      </c>
      <c r="S48" s="2"/>
      <c r="T48" s="7">
        <v>99481.64</v>
      </c>
      <c r="U48" s="2"/>
      <c r="V48" s="6">
        <f t="shared" si="37"/>
        <v>0</v>
      </c>
      <c r="W48" s="2"/>
      <c r="X48" s="7">
        <f t="shared" si="38"/>
        <v>-824.99000000000524</v>
      </c>
      <c r="Y48" s="2"/>
      <c r="Z48" s="6">
        <f t="shared" si="39"/>
        <v>-8.2928870091004258E-3</v>
      </c>
    </row>
    <row r="49" spans="1:26" s="29" customFormat="1" outlineLevel="1" collapsed="1" x14ac:dyDescent="0.3">
      <c r="A49" s="28"/>
      <c r="B49" s="14" t="str">
        <f>CONCATENATE("     ","Discounts and Markdowns                           ")</f>
        <v xml:space="preserve">     Discounts and Markdowns                           </v>
      </c>
      <c r="C49" s="14"/>
      <c r="D49" s="1">
        <f>SUM(OSRRefD22_6x_0)</f>
        <v>-1319.51</v>
      </c>
      <c r="E49" s="1"/>
      <c r="F49" s="5">
        <f t="shared" ref="F49:F51" si="40">IF(D$12=0,0,D49/D$12)</f>
        <v>0</v>
      </c>
      <c r="G49" s="1"/>
      <c r="H49" s="1">
        <f>SUM(OSRRefH22_6x_0)</f>
        <v>0</v>
      </c>
      <c r="I49" s="1"/>
      <c r="J49" s="5">
        <f t="shared" ref="J49:J51" si="41">IF(H$12=0,0,H49/H$12)</f>
        <v>0</v>
      </c>
      <c r="K49" s="1"/>
      <c r="L49" s="1">
        <f t="shared" ref="L49:L51" si="42">+D49-H49</f>
        <v>-1319.51</v>
      </c>
      <c r="M49" s="1"/>
      <c r="N49" s="5">
        <f t="shared" ref="N49:N51" si="43">IF(H49=0,0,L49/H49)</f>
        <v>0</v>
      </c>
      <c r="O49" s="14"/>
      <c r="P49" s="1">
        <f>SUM(OSRRefP22_6x_0)</f>
        <v>2064.1799999999998</v>
      </c>
      <c r="Q49" s="1"/>
      <c r="R49" s="5">
        <f t="shared" ref="R49:R51" si="44">IF(P$12=0,0,P49/P$12)</f>
        <v>0</v>
      </c>
      <c r="S49" s="1"/>
      <c r="T49" s="1">
        <f>SUM(OSRRefT22_6x_0)</f>
        <v>0</v>
      </c>
      <c r="U49" s="1"/>
      <c r="V49" s="5">
        <f t="shared" ref="V49:V51" si="45">IF(T$12=0,0,T49/T$12)</f>
        <v>0</v>
      </c>
      <c r="W49" s="1"/>
      <c r="X49" s="1">
        <f t="shared" ref="X49:X51" si="46">+P49-T49</f>
        <v>2064.1799999999998</v>
      </c>
      <c r="Y49" s="1"/>
      <c r="Z49" s="5">
        <f t="shared" ref="Z49:Z51" si="47">IF(T49=0,0,X49/T49)</f>
        <v>0</v>
      </c>
    </row>
    <row r="50" spans="1:26" s="24" customFormat="1" hidden="1" outlineLevel="2" x14ac:dyDescent="0.3">
      <c r="A50" s="27"/>
      <c r="B50" s="11" t="str">
        <f>CONCATENATE("          ", "6382", " - ", "DISCOUNTS/MARK DOWNS")</f>
        <v xml:space="preserve">          6382 - DISCOUNTS/MARK DOWNS</v>
      </c>
      <c r="C50" s="11"/>
      <c r="D50" s="7">
        <v>-1240</v>
      </c>
      <c r="E50" s="2"/>
      <c r="F50" s="6">
        <f t="shared" si="40"/>
        <v>0</v>
      </c>
      <c r="G50" s="2"/>
      <c r="H50" s="7"/>
      <c r="I50" s="2"/>
      <c r="J50" s="6">
        <f t="shared" si="41"/>
        <v>0</v>
      </c>
      <c r="K50" s="2"/>
      <c r="L50" s="7">
        <f t="shared" si="42"/>
        <v>-1240</v>
      </c>
      <c r="M50" s="2"/>
      <c r="N50" s="6">
        <f t="shared" si="43"/>
        <v>0</v>
      </c>
      <c r="O50" s="11"/>
      <c r="P50" s="7">
        <v>2170</v>
      </c>
      <c r="Q50" s="2"/>
      <c r="R50" s="6">
        <f t="shared" si="44"/>
        <v>0</v>
      </c>
      <c r="S50" s="2"/>
      <c r="T50" s="7"/>
      <c r="U50" s="2"/>
      <c r="V50" s="6">
        <f t="shared" si="45"/>
        <v>0</v>
      </c>
      <c r="W50" s="2"/>
      <c r="X50" s="7">
        <f t="shared" si="46"/>
        <v>2170</v>
      </c>
      <c r="Y50" s="2"/>
      <c r="Z50" s="6">
        <f t="shared" si="47"/>
        <v>0</v>
      </c>
    </row>
    <row r="51" spans="1:26" s="24" customFormat="1" hidden="1" outlineLevel="2" x14ac:dyDescent="0.3">
      <c r="A51" s="27"/>
      <c r="B51" s="11" t="str">
        <f>CONCATENATE("          ", "9175", " - ", "EARNED DISCOUNTS")</f>
        <v xml:space="preserve">          9175 - EARNED DISCOUNTS</v>
      </c>
      <c r="C51" s="11"/>
      <c r="D51" s="7">
        <v>-79.510000000000005</v>
      </c>
      <c r="E51" s="2"/>
      <c r="F51" s="6">
        <f t="shared" si="40"/>
        <v>0</v>
      </c>
      <c r="G51" s="2"/>
      <c r="H51" s="7"/>
      <c r="I51" s="2"/>
      <c r="J51" s="6">
        <f t="shared" si="41"/>
        <v>0</v>
      </c>
      <c r="K51" s="2"/>
      <c r="L51" s="7">
        <f t="shared" si="42"/>
        <v>-79.510000000000005</v>
      </c>
      <c r="M51" s="2"/>
      <c r="N51" s="6">
        <f t="shared" si="43"/>
        <v>0</v>
      </c>
      <c r="O51" s="11"/>
      <c r="P51" s="7">
        <v>-105.82</v>
      </c>
      <c r="Q51" s="2"/>
      <c r="R51" s="6">
        <f t="shared" si="44"/>
        <v>0</v>
      </c>
      <c r="S51" s="2"/>
      <c r="T51" s="7"/>
      <c r="U51" s="2"/>
      <c r="V51" s="6">
        <f t="shared" si="45"/>
        <v>0</v>
      </c>
      <c r="W51" s="2"/>
      <c r="X51" s="7">
        <f t="shared" si="46"/>
        <v>-105.82</v>
      </c>
      <c r="Y51" s="2"/>
      <c r="Z51" s="6">
        <f t="shared" si="47"/>
        <v>0</v>
      </c>
    </row>
    <row r="52" spans="1:26" s="29" customFormat="1" outlineLevel="1" collapsed="1" x14ac:dyDescent="0.3">
      <c r="A52" s="28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SUM(OSRRefD22_7x_0)</f>
        <v>0</v>
      </c>
      <c r="E52" s="1"/>
      <c r="F52" s="5">
        <f t="shared" ref="F52:F72" si="48">IF(D$12=0,0,D52/D$12)</f>
        <v>0</v>
      </c>
      <c r="G52" s="1"/>
      <c r="H52" s="1">
        <f>SUM(OSRRefH22_7x_0)</f>
        <v>0</v>
      </c>
      <c r="I52" s="1"/>
      <c r="J52" s="5">
        <f t="shared" ref="J52:J72" si="49">IF(H$12=0,0,H52/H$12)</f>
        <v>0</v>
      </c>
      <c r="K52" s="1"/>
      <c r="L52" s="1">
        <f t="shared" ref="L52:L72" si="50">+D52-H52</f>
        <v>0</v>
      </c>
      <c r="M52" s="1"/>
      <c r="N52" s="5">
        <f t="shared" ref="N52:N72" si="51">IF(H52=0,0,L52/H52)</f>
        <v>0</v>
      </c>
      <c r="O52" s="14"/>
      <c r="P52" s="1">
        <f>SUM(OSRRefP22_7x_0)</f>
        <v>2820.22</v>
      </c>
      <c r="Q52" s="1"/>
      <c r="R52" s="5">
        <f t="shared" ref="R52:R72" si="52">IF(P$12=0,0,P52/P$12)</f>
        <v>0</v>
      </c>
      <c r="S52" s="1"/>
      <c r="T52" s="1">
        <f>SUM(OSRRefT22_7x_0)</f>
        <v>0</v>
      </c>
      <c r="U52" s="1"/>
      <c r="V52" s="5">
        <f t="shared" ref="V52:V72" si="53">IF(T$12=0,0,T52/T$12)</f>
        <v>0</v>
      </c>
      <c r="W52" s="1"/>
      <c r="X52" s="1">
        <f t="shared" ref="X52:X72" si="54">+P52-T52</f>
        <v>2820.22</v>
      </c>
      <c r="Y52" s="1"/>
      <c r="Z52" s="5">
        <f t="shared" ref="Z52:Z72" si="55">IF(T52=0,0,X52/T52)</f>
        <v>0</v>
      </c>
    </row>
    <row r="53" spans="1:26" s="24" customFormat="1" hidden="1" outlineLevel="2" x14ac:dyDescent="0.3">
      <c r="A53" s="27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48"/>
        <v>0</v>
      </c>
      <c r="G53" s="2"/>
      <c r="H53" s="7"/>
      <c r="I53" s="2"/>
      <c r="J53" s="6">
        <f t="shared" si="49"/>
        <v>0</v>
      </c>
      <c r="K53" s="2"/>
      <c r="L53" s="7">
        <f t="shared" si="50"/>
        <v>0</v>
      </c>
      <c r="M53" s="2"/>
      <c r="N53" s="6">
        <f t="shared" si="51"/>
        <v>0</v>
      </c>
      <c r="O53" s="11"/>
      <c r="P53" s="7">
        <v>2820.22</v>
      </c>
      <c r="Q53" s="2"/>
      <c r="R53" s="6">
        <f t="shared" si="52"/>
        <v>0</v>
      </c>
      <c r="S53" s="2"/>
      <c r="T53" s="7"/>
      <c r="U53" s="2"/>
      <c r="V53" s="6">
        <f t="shared" si="53"/>
        <v>0</v>
      </c>
      <c r="W53" s="2"/>
      <c r="X53" s="7">
        <f t="shared" si="54"/>
        <v>2820.22</v>
      </c>
      <c r="Y53" s="2"/>
      <c r="Z53" s="6">
        <f t="shared" si="55"/>
        <v>0</v>
      </c>
    </row>
    <row r="54" spans="1:26" s="29" customFormat="1" outlineLevel="1" collapsed="1" x14ac:dyDescent="0.3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SUM(OSRRefD22_8x_0)</f>
        <v>1421.38</v>
      </c>
      <c r="E54" s="1"/>
      <c r="F54" s="5">
        <f t="shared" si="48"/>
        <v>0</v>
      </c>
      <c r="G54" s="1"/>
      <c r="H54" s="1">
        <f>SUM(OSRRefH22_8x_0)</f>
        <v>78.33</v>
      </c>
      <c r="I54" s="1"/>
      <c r="J54" s="5">
        <f t="shared" si="49"/>
        <v>0</v>
      </c>
      <c r="K54" s="1"/>
      <c r="L54" s="1">
        <f t="shared" si="50"/>
        <v>1343.0500000000002</v>
      </c>
      <c r="M54" s="1"/>
      <c r="N54" s="5">
        <f t="shared" si="51"/>
        <v>17.146048768032685</v>
      </c>
      <c r="O54" s="14"/>
      <c r="P54" s="1">
        <f>SUM(OSRRefP22_8x_0)</f>
        <v>4028.75</v>
      </c>
      <c r="Q54" s="1"/>
      <c r="R54" s="5">
        <f t="shared" si="52"/>
        <v>0</v>
      </c>
      <c r="S54" s="1"/>
      <c r="T54" s="1">
        <f>SUM(OSRRefT22_8x_0)</f>
        <v>78.33</v>
      </c>
      <c r="U54" s="1"/>
      <c r="V54" s="5">
        <f t="shared" si="53"/>
        <v>0</v>
      </c>
      <c r="W54" s="1"/>
      <c r="X54" s="1">
        <f t="shared" si="54"/>
        <v>3950.42</v>
      </c>
      <c r="Y54" s="1"/>
      <c r="Z54" s="5">
        <f t="shared" si="55"/>
        <v>50.433039703817187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7">
        <v>1421.38</v>
      </c>
      <c r="E55" s="2"/>
      <c r="F55" s="6">
        <f t="shared" si="48"/>
        <v>0</v>
      </c>
      <c r="G55" s="2"/>
      <c r="H55" s="7">
        <v>78.33</v>
      </c>
      <c r="I55" s="2"/>
      <c r="J55" s="6">
        <f t="shared" si="49"/>
        <v>0</v>
      </c>
      <c r="K55" s="2"/>
      <c r="L55" s="7">
        <f t="shared" si="50"/>
        <v>1343.0500000000002</v>
      </c>
      <c r="M55" s="2"/>
      <c r="N55" s="6">
        <f t="shared" si="51"/>
        <v>17.146048768032685</v>
      </c>
      <c r="O55" s="11"/>
      <c r="P55" s="7">
        <v>4028.75</v>
      </c>
      <c r="Q55" s="2"/>
      <c r="R55" s="6">
        <f t="shared" si="52"/>
        <v>0</v>
      </c>
      <c r="S55" s="2"/>
      <c r="T55" s="7">
        <v>78.33</v>
      </c>
      <c r="U55" s="2"/>
      <c r="V55" s="6">
        <f t="shared" si="53"/>
        <v>0</v>
      </c>
      <c r="W55" s="2"/>
      <c r="X55" s="7">
        <f t="shared" si="54"/>
        <v>3950.42</v>
      </c>
      <c r="Y55" s="2"/>
      <c r="Z55" s="6">
        <f t="shared" si="55"/>
        <v>50.433039703817187</v>
      </c>
    </row>
    <row r="56" spans="1:26" s="29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SUM(OSRRefD22_9x_0)</f>
        <v>91.26</v>
      </c>
      <c r="E56" s="1"/>
      <c r="F56" s="5">
        <f t="shared" si="48"/>
        <v>0</v>
      </c>
      <c r="G56" s="1"/>
      <c r="H56" s="1">
        <f>SUM(OSRRefH22_9x_0)</f>
        <v>91.26</v>
      </c>
      <c r="I56" s="1"/>
      <c r="J56" s="5">
        <f t="shared" si="49"/>
        <v>0</v>
      </c>
      <c r="K56" s="1"/>
      <c r="L56" s="1">
        <f t="shared" si="50"/>
        <v>0</v>
      </c>
      <c r="M56" s="1"/>
      <c r="N56" s="5">
        <f t="shared" si="51"/>
        <v>0</v>
      </c>
      <c r="O56" s="14"/>
      <c r="P56" s="1">
        <f>SUM(OSRRefP22_9x_0)</f>
        <v>2021.47</v>
      </c>
      <c r="Q56" s="1"/>
      <c r="R56" s="5">
        <f t="shared" si="52"/>
        <v>0</v>
      </c>
      <c r="S56" s="1"/>
      <c r="T56" s="1">
        <f>SUM(OSRRefT22_9x_0)</f>
        <v>1286.5999999999999</v>
      </c>
      <c r="U56" s="1"/>
      <c r="V56" s="5">
        <f t="shared" si="53"/>
        <v>0</v>
      </c>
      <c r="W56" s="1"/>
      <c r="X56" s="1">
        <f t="shared" si="54"/>
        <v>734.87000000000012</v>
      </c>
      <c r="Y56" s="1"/>
      <c r="Z56" s="5">
        <f t="shared" si="55"/>
        <v>0.57117208145499776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7">
        <v>91.26</v>
      </c>
      <c r="E57" s="2"/>
      <c r="F57" s="6">
        <f t="shared" si="48"/>
        <v>0</v>
      </c>
      <c r="G57" s="2"/>
      <c r="H57" s="7">
        <v>91.26</v>
      </c>
      <c r="I57" s="2"/>
      <c r="J57" s="6">
        <f t="shared" si="49"/>
        <v>0</v>
      </c>
      <c r="K57" s="2"/>
      <c r="L57" s="7">
        <f t="shared" si="50"/>
        <v>0</v>
      </c>
      <c r="M57" s="2"/>
      <c r="N57" s="6">
        <f t="shared" si="51"/>
        <v>0</v>
      </c>
      <c r="O57" s="11"/>
      <c r="P57" s="7">
        <v>2021.47</v>
      </c>
      <c r="Q57" s="2"/>
      <c r="R57" s="6">
        <f t="shared" si="52"/>
        <v>0</v>
      </c>
      <c r="S57" s="2"/>
      <c r="T57" s="7">
        <v>1286.5999999999999</v>
      </c>
      <c r="U57" s="2"/>
      <c r="V57" s="6">
        <f t="shared" si="53"/>
        <v>0</v>
      </c>
      <c r="W57" s="2"/>
      <c r="X57" s="7">
        <f t="shared" si="54"/>
        <v>734.87000000000012</v>
      </c>
      <c r="Y57" s="2"/>
      <c r="Z57" s="6">
        <f t="shared" si="55"/>
        <v>0.57117208145499776</v>
      </c>
    </row>
    <row r="58" spans="1:26" s="29" customFormat="1" outlineLevel="1" collapsed="1" x14ac:dyDescent="0.3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SUM(OSRRefD22_10x_0)</f>
        <v>1725.99</v>
      </c>
      <c r="E58" s="1"/>
      <c r="F58" s="5">
        <f t="shared" si="48"/>
        <v>0</v>
      </c>
      <c r="G58" s="1"/>
      <c r="H58" s="1">
        <f>SUM(OSRRefH22_10x_0)</f>
        <v>1321.95</v>
      </c>
      <c r="I58" s="1"/>
      <c r="J58" s="5">
        <f t="shared" si="49"/>
        <v>0</v>
      </c>
      <c r="K58" s="1"/>
      <c r="L58" s="1">
        <f t="shared" si="50"/>
        <v>404.03999999999996</v>
      </c>
      <c r="M58" s="1"/>
      <c r="N58" s="5">
        <f t="shared" si="51"/>
        <v>0.30563939634630655</v>
      </c>
      <c r="O58" s="14"/>
      <c r="P58" s="1">
        <f>SUM(OSRRefP22_10x_0)</f>
        <v>11232.23</v>
      </c>
      <c r="Q58" s="1"/>
      <c r="R58" s="5">
        <f t="shared" si="52"/>
        <v>0</v>
      </c>
      <c r="S58" s="1"/>
      <c r="T58" s="1">
        <f>SUM(OSRRefT22_10x_0)</f>
        <v>2001.7</v>
      </c>
      <c r="U58" s="1"/>
      <c r="V58" s="5">
        <f t="shared" si="53"/>
        <v>0</v>
      </c>
      <c r="W58" s="1"/>
      <c r="X58" s="1">
        <f t="shared" si="54"/>
        <v>9230.5299999999988</v>
      </c>
      <c r="Y58" s="1"/>
      <c r="Z58" s="5">
        <f t="shared" si="55"/>
        <v>4.6113453564470195</v>
      </c>
    </row>
    <row r="59" spans="1:26" s="24" customFormat="1" hidden="1" outlineLevel="2" x14ac:dyDescent="0.3">
      <c r="A59" s="27"/>
      <c r="B59" s="11" t="str">
        <f>CONCATENATE("          ", "6307", " - ", "POSTAGE")</f>
        <v xml:space="preserve">          6307 - POSTAGE</v>
      </c>
      <c r="C59" s="11"/>
      <c r="D59" s="7">
        <v>1725.99</v>
      </c>
      <c r="E59" s="2"/>
      <c r="F59" s="6">
        <f t="shared" si="48"/>
        <v>0</v>
      </c>
      <c r="G59" s="2"/>
      <c r="H59" s="7">
        <v>1321.95</v>
      </c>
      <c r="I59" s="2"/>
      <c r="J59" s="6">
        <f t="shared" si="49"/>
        <v>0</v>
      </c>
      <c r="K59" s="2"/>
      <c r="L59" s="7">
        <f t="shared" si="50"/>
        <v>404.03999999999996</v>
      </c>
      <c r="M59" s="2"/>
      <c r="N59" s="6">
        <f t="shared" si="51"/>
        <v>0.30563939634630655</v>
      </c>
      <c r="O59" s="11"/>
      <c r="P59" s="7">
        <v>11232.23</v>
      </c>
      <c r="Q59" s="2"/>
      <c r="R59" s="6">
        <f t="shared" si="52"/>
        <v>0</v>
      </c>
      <c r="S59" s="2"/>
      <c r="T59" s="7">
        <v>2001.7</v>
      </c>
      <c r="U59" s="2"/>
      <c r="V59" s="6">
        <f t="shared" si="53"/>
        <v>0</v>
      </c>
      <c r="W59" s="2"/>
      <c r="X59" s="7">
        <f t="shared" si="54"/>
        <v>9230.5299999999988</v>
      </c>
      <c r="Y59" s="2"/>
      <c r="Z59" s="6">
        <f t="shared" si="55"/>
        <v>4.6113453564470195</v>
      </c>
    </row>
    <row r="60" spans="1:26" s="29" customFormat="1" outlineLevel="1" collapsed="1" x14ac:dyDescent="0.3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SUM(OSRRefD22_11x_0)</f>
        <v>0</v>
      </c>
      <c r="E60" s="1"/>
      <c r="F60" s="5">
        <f t="shared" si="48"/>
        <v>0</v>
      </c>
      <c r="G60" s="1"/>
      <c r="H60" s="1">
        <f>SUM(OSRRefH22_11x_0)</f>
        <v>219</v>
      </c>
      <c r="I60" s="1"/>
      <c r="J60" s="5">
        <f t="shared" si="49"/>
        <v>0</v>
      </c>
      <c r="K60" s="1"/>
      <c r="L60" s="1">
        <f t="shared" si="50"/>
        <v>-219</v>
      </c>
      <c r="M60" s="1"/>
      <c r="N60" s="5">
        <f t="shared" si="51"/>
        <v>-1</v>
      </c>
      <c r="O60" s="14"/>
      <c r="P60" s="1">
        <f>SUM(OSRRefP22_11x_0)</f>
        <v>2556.75</v>
      </c>
      <c r="Q60" s="1"/>
      <c r="R60" s="5">
        <f t="shared" si="52"/>
        <v>0</v>
      </c>
      <c r="S60" s="1"/>
      <c r="T60" s="1">
        <f>SUM(OSRRefT22_11x_0)</f>
        <v>1386.81</v>
      </c>
      <c r="U60" s="1"/>
      <c r="V60" s="5">
        <f t="shared" si="53"/>
        <v>0</v>
      </c>
      <c r="W60" s="1"/>
      <c r="X60" s="1">
        <f t="shared" si="54"/>
        <v>1169.94</v>
      </c>
      <c r="Y60" s="1"/>
      <c r="Z60" s="5">
        <f t="shared" si="55"/>
        <v>0.8436195297120731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48"/>
        <v>0</v>
      </c>
      <c r="G61" s="2"/>
      <c r="H61" s="7">
        <v>219</v>
      </c>
      <c r="I61" s="2"/>
      <c r="J61" s="6">
        <f t="shared" si="49"/>
        <v>0</v>
      </c>
      <c r="K61" s="2"/>
      <c r="L61" s="7">
        <f t="shared" si="50"/>
        <v>-219</v>
      </c>
      <c r="M61" s="2"/>
      <c r="N61" s="6">
        <f t="shared" si="51"/>
        <v>-1</v>
      </c>
      <c r="O61" s="11"/>
      <c r="P61" s="7">
        <v>2556.75</v>
      </c>
      <c r="Q61" s="2"/>
      <c r="R61" s="6">
        <f t="shared" si="52"/>
        <v>0</v>
      </c>
      <c r="S61" s="2"/>
      <c r="T61" s="7">
        <v>1386.81</v>
      </c>
      <c r="U61" s="2"/>
      <c r="V61" s="6">
        <f t="shared" si="53"/>
        <v>0</v>
      </c>
      <c r="W61" s="2"/>
      <c r="X61" s="7">
        <f t="shared" si="54"/>
        <v>1169.94</v>
      </c>
      <c r="Y61" s="2"/>
      <c r="Z61" s="6">
        <f t="shared" si="55"/>
        <v>0.8436195297120731</v>
      </c>
    </row>
    <row r="62" spans="1:26" s="29" customFormat="1" outlineLevel="1" collapsed="1" x14ac:dyDescent="0.3">
      <c r="A62" s="28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SUM(OSRRefD22_12x_0)</f>
        <v>5275.49</v>
      </c>
      <c r="E62" s="1"/>
      <c r="F62" s="5">
        <f t="shared" si="48"/>
        <v>0</v>
      </c>
      <c r="G62" s="1"/>
      <c r="H62" s="1">
        <f>SUM(OSRRefH22_12x_0)</f>
        <v>3883.56</v>
      </c>
      <c r="I62" s="1"/>
      <c r="J62" s="5">
        <f t="shared" si="49"/>
        <v>0</v>
      </c>
      <c r="K62" s="1"/>
      <c r="L62" s="1">
        <f t="shared" si="50"/>
        <v>1391.9299999999998</v>
      </c>
      <c r="M62" s="1"/>
      <c r="N62" s="5">
        <f t="shared" si="51"/>
        <v>0.35841598945297609</v>
      </c>
      <c r="O62" s="14"/>
      <c r="P62" s="1">
        <f>SUM(OSRRefP22_12x_0)</f>
        <v>36928.43</v>
      </c>
      <c r="Q62" s="1"/>
      <c r="R62" s="5">
        <f t="shared" si="52"/>
        <v>0</v>
      </c>
      <c r="S62" s="1"/>
      <c r="T62" s="1">
        <f>SUM(OSRRefT22_12x_0)</f>
        <v>27184.92</v>
      </c>
      <c r="U62" s="1"/>
      <c r="V62" s="5">
        <f t="shared" si="53"/>
        <v>0</v>
      </c>
      <c r="W62" s="1"/>
      <c r="X62" s="1">
        <f t="shared" si="54"/>
        <v>9743.510000000002</v>
      </c>
      <c r="Y62" s="1"/>
      <c r="Z62" s="5">
        <f t="shared" si="55"/>
        <v>0.35841598945297626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7">
        <v>5275.49</v>
      </c>
      <c r="E63" s="2"/>
      <c r="F63" s="6">
        <f t="shared" si="48"/>
        <v>0</v>
      </c>
      <c r="G63" s="2"/>
      <c r="H63" s="7">
        <v>3883.56</v>
      </c>
      <c r="I63" s="2"/>
      <c r="J63" s="6">
        <f t="shared" si="49"/>
        <v>0</v>
      </c>
      <c r="K63" s="2"/>
      <c r="L63" s="7">
        <f t="shared" si="50"/>
        <v>1391.9299999999998</v>
      </c>
      <c r="M63" s="2"/>
      <c r="N63" s="6">
        <f t="shared" si="51"/>
        <v>0.35841598945297609</v>
      </c>
      <c r="O63" s="11"/>
      <c r="P63" s="7">
        <v>36928.43</v>
      </c>
      <c r="Q63" s="2"/>
      <c r="R63" s="6">
        <f t="shared" si="52"/>
        <v>0</v>
      </c>
      <c r="S63" s="2"/>
      <c r="T63" s="7">
        <v>27184.92</v>
      </c>
      <c r="U63" s="2"/>
      <c r="V63" s="6">
        <f t="shared" si="53"/>
        <v>0</v>
      </c>
      <c r="W63" s="2"/>
      <c r="X63" s="7">
        <f t="shared" si="54"/>
        <v>9743.510000000002</v>
      </c>
      <c r="Y63" s="2"/>
      <c r="Z63" s="6">
        <f t="shared" si="55"/>
        <v>0.35841598945297626</v>
      </c>
    </row>
    <row r="64" spans="1:26" s="29" customFormat="1" outlineLevel="1" collapsed="1" x14ac:dyDescent="0.3">
      <c r="A64" s="28"/>
      <c r="B64" s="14" t="str">
        <f>CONCATENATE("     ","Professional Services                             ")</f>
        <v xml:space="preserve">     Professional Services                             </v>
      </c>
      <c r="C64" s="14"/>
      <c r="D64" s="1">
        <f>SUM(OSRRefD22_13x_0)</f>
        <v>0</v>
      </c>
      <c r="E64" s="1"/>
      <c r="F64" s="5">
        <f t="shared" si="48"/>
        <v>0</v>
      </c>
      <c r="G64" s="1"/>
      <c r="H64" s="1">
        <f>SUM(OSRRefH22_13x_0)</f>
        <v>0</v>
      </c>
      <c r="I64" s="1"/>
      <c r="J64" s="5">
        <f t="shared" si="49"/>
        <v>0</v>
      </c>
      <c r="K64" s="1"/>
      <c r="L64" s="1">
        <f t="shared" si="50"/>
        <v>0</v>
      </c>
      <c r="M64" s="1"/>
      <c r="N64" s="5">
        <f t="shared" si="51"/>
        <v>0</v>
      </c>
      <c r="O64" s="14"/>
      <c r="P64" s="1">
        <f>SUM(OSRRefP22_13x_0)</f>
        <v>7517.43</v>
      </c>
      <c r="Q64" s="1"/>
      <c r="R64" s="5">
        <f t="shared" si="52"/>
        <v>0</v>
      </c>
      <c r="S64" s="1"/>
      <c r="T64" s="1">
        <f>SUM(OSRRefT22_13x_0)</f>
        <v>0</v>
      </c>
      <c r="U64" s="1"/>
      <c r="V64" s="5">
        <f t="shared" si="53"/>
        <v>0</v>
      </c>
      <c r="W64" s="1"/>
      <c r="X64" s="1">
        <f t="shared" si="54"/>
        <v>7517.43</v>
      </c>
      <c r="Y64" s="1"/>
      <c r="Z64" s="5">
        <f t="shared" si="55"/>
        <v>0</v>
      </c>
    </row>
    <row r="65" spans="1:26" s="24" customFormat="1" hidden="1" outlineLevel="2" x14ac:dyDescent="0.3">
      <c r="A65" s="27"/>
      <c r="B65" s="11" t="str">
        <f>CONCATENATE("          ", "6336", " - ", "PROFESSIONAL SERVICES")</f>
        <v xml:space="preserve">          6336 - PROFESSIONAL SERVICES</v>
      </c>
      <c r="C65" s="11"/>
      <c r="D65" s="7"/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0</v>
      </c>
      <c r="M65" s="2"/>
      <c r="N65" s="6">
        <f t="shared" si="51"/>
        <v>0</v>
      </c>
      <c r="O65" s="11"/>
      <c r="P65" s="7">
        <v>7517.43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7517.43</v>
      </c>
      <c r="Y65" s="2"/>
      <c r="Z65" s="6">
        <f t="shared" si="55"/>
        <v>0</v>
      </c>
    </row>
    <row r="66" spans="1:26" s="29" customFormat="1" outlineLevel="1" collapsed="1" x14ac:dyDescent="0.3">
      <c r="A66" s="28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SUM(OSRRefD22_14x_0)</f>
        <v>-800</v>
      </c>
      <c r="E66" s="1"/>
      <c r="F66" s="5">
        <f t="shared" si="48"/>
        <v>0</v>
      </c>
      <c r="G66" s="1"/>
      <c r="H66" s="1">
        <f>SUM(OSRRefH22_14x_0)</f>
        <v>-800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4"/>
      <c r="P66" s="1">
        <f>SUM(OSRRefP22_14x_0)</f>
        <v>-5600</v>
      </c>
      <c r="Q66" s="1"/>
      <c r="R66" s="5">
        <f t="shared" si="52"/>
        <v>0</v>
      </c>
      <c r="S66" s="1"/>
      <c r="T66" s="1">
        <f>SUM(OSRRefT22_14x_0)</f>
        <v>-5600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3">
      <c r="A67" s="27"/>
      <c r="B67" s="11" t="str">
        <f>CONCATENATE("          ", "6273", " - ", "RENT")</f>
        <v xml:space="preserve">          6273 - RENT</v>
      </c>
      <c r="C67" s="11"/>
      <c r="D67" s="7">
        <v>-800</v>
      </c>
      <c r="E67" s="2"/>
      <c r="F67" s="6">
        <f t="shared" si="48"/>
        <v>0</v>
      </c>
      <c r="G67" s="2"/>
      <c r="H67" s="7">
        <v>-800</v>
      </c>
      <c r="I67" s="2"/>
      <c r="J67" s="6">
        <f t="shared" si="49"/>
        <v>0</v>
      </c>
      <c r="K67" s="2"/>
      <c r="L67" s="7">
        <f t="shared" si="50"/>
        <v>0</v>
      </c>
      <c r="M67" s="2"/>
      <c r="N67" s="6">
        <f t="shared" si="51"/>
        <v>0</v>
      </c>
      <c r="O67" s="11"/>
      <c r="P67" s="7">
        <v>-5600</v>
      </c>
      <c r="Q67" s="2"/>
      <c r="R67" s="6">
        <f t="shared" si="52"/>
        <v>0</v>
      </c>
      <c r="S67" s="2"/>
      <c r="T67" s="7">
        <v>-5600</v>
      </c>
      <c r="U67" s="2"/>
      <c r="V67" s="6">
        <f t="shared" si="53"/>
        <v>0</v>
      </c>
      <c r="W67" s="2"/>
      <c r="X67" s="7">
        <f t="shared" si="54"/>
        <v>0</v>
      </c>
      <c r="Y67" s="2"/>
      <c r="Z67" s="6">
        <f t="shared" si="55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SUM(OSRRefD22_15x_0)</f>
        <v>4102.7300000000005</v>
      </c>
      <c r="E68" s="1"/>
      <c r="F68" s="5">
        <f t="shared" si="48"/>
        <v>0</v>
      </c>
      <c r="G68" s="1"/>
      <c r="H68" s="1">
        <f>SUM(OSRRefH22_15x_0)</f>
        <v>2626.01</v>
      </c>
      <c r="I68" s="1"/>
      <c r="J68" s="5">
        <f t="shared" si="49"/>
        <v>0</v>
      </c>
      <c r="K68" s="1"/>
      <c r="L68" s="1">
        <f t="shared" si="50"/>
        <v>1476.7200000000003</v>
      </c>
      <c r="M68" s="1"/>
      <c r="N68" s="5">
        <f t="shared" si="51"/>
        <v>0.56234363159317757</v>
      </c>
      <c r="O68" s="14"/>
      <c r="P68" s="1">
        <f>SUM(OSRRefP22_15x_0)</f>
        <v>79458.22</v>
      </c>
      <c r="Q68" s="1"/>
      <c r="R68" s="5">
        <f t="shared" si="52"/>
        <v>0</v>
      </c>
      <c r="S68" s="1"/>
      <c r="T68" s="1">
        <f>SUM(OSRRefT22_15x_0)</f>
        <v>81930.09</v>
      </c>
      <c r="U68" s="1"/>
      <c r="V68" s="5">
        <f t="shared" si="53"/>
        <v>0</v>
      </c>
      <c r="W68" s="1"/>
      <c r="X68" s="1">
        <f t="shared" si="54"/>
        <v>-2471.8699999999953</v>
      </c>
      <c r="Y68" s="1"/>
      <c r="Z68" s="5">
        <f t="shared" si="55"/>
        <v>-3.0170478269949362E-2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>
        <v>56736</v>
      </c>
      <c r="Q69" s="2"/>
      <c r="R69" s="6">
        <f t="shared" si="52"/>
        <v>0</v>
      </c>
      <c r="S69" s="2"/>
      <c r="T69" s="7">
        <v>58428.78</v>
      </c>
      <c r="U69" s="2"/>
      <c r="V69" s="6">
        <f t="shared" si="53"/>
        <v>0</v>
      </c>
      <c r="W69" s="2"/>
      <c r="X69" s="7">
        <f t="shared" si="54"/>
        <v>-1692.7799999999988</v>
      </c>
      <c r="Y69" s="2"/>
      <c r="Z69" s="6">
        <f t="shared" si="55"/>
        <v>-2.8971681421381703E-2</v>
      </c>
    </row>
    <row r="70" spans="1:26" s="24" customFormat="1" hidden="1" outlineLevel="2" x14ac:dyDescent="0.3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/>
      <c r="Q70" s="2"/>
      <c r="R70" s="6">
        <f t="shared" si="52"/>
        <v>0</v>
      </c>
      <c r="S70" s="2"/>
      <c r="T70" s="7">
        <v>0</v>
      </c>
      <c r="U70" s="2"/>
      <c r="V70" s="6">
        <f t="shared" si="53"/>
        <v>0</v>
      </c>
      <c r="W70" s="2"/>
      <c r="X70" s="7">
        <f t="shared" si="54"/>
        <v>0</v>
      </c>
      <c r="Y70" s="2"/>
      <c r="Z70" s="6">
        <f t="shared" si="55"/>
        <v>0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69.040000000000006</v>
      </c>
      <c r="E71" s="2"/>
      <c r="F71" s="6">
        <f t="shared" si="48"/>
        <v>0</v>
      </c>
      <c r="G71" s="2"/>
      <c r="H71" s="7">
        <v>51.01</v>
      </c>
      <c r="I71" s="2"/>
      <c r="J71" s="6">
        <f t="shared" si="49"/>
        <v>0</v>
      </c>
      <c r="K71" s="2"/>
      <c r="L71" s="7">
        <f t="shared" si="50"/>
        <v>18.030000000000008</v>
      </c>
      <c r="M71" s="2"/>
      <c r="N71" s="6">
        <f t="shared" si="51"/>
        <v>0.35346010586159593</v>
      </c>
      <c r="O71" s="11"/>
      <c r="P71" s="7">
        <v>8457.31</v>
      </c>
      <c r="Q71" s="2"/>
      <c r="R71" s="6">
        <f t="shared" si="52"/>
        <v>0</v>
      </c>
      <c r="S71" s="2"/>
      <c r="T71" s="7">
        <v>9189.75</v>
      </c>
      <c r="U71" s="2"/>
      <c r="V71" s="6">
        <f t="shared" si="53"/>
        <v>0</v>
      </c>
      <c r="W71" s="2"/>
      <c r="X71" s="7">
        <f t="shared" si="54"/>
        <v>-732.44000000000051</v>
      </c>
      <c r="Y71" s="2"/>
      <c r="Z71" s="6">
        <f t="shared" si="55"/>
        <v>-7.9701841725835901E-2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4033.69</v>
      </c>
      <c r="E72" s="2"/>
      <c r="F72" s="6">
        <f t="shared" si="48"/>
        <v>0</v>
      </c>
      <c r="G72" s="2"/>
      <c r="H72" s="7">
        <v>2575</v>
      </c>
      <c r="I72" s="2"/>
      <c r="J72" s="6">
        <f t="shared" si="49"/>
        <v>0</v>
      </c>
      <c r="K72" s="2"/>
      <c r="L72" s="7">
        <f t="shared" si="50"/>
        <v>1458.69</v>
      </c>
      <c r="M72" s="2"/>
      <c r="N72" s="6">
        <f t="shared" si="51"/>
        <v>0.56648155339805828</v>
      </c>
      <c r="O72" s="11"/>
      <c r="P72" s="7">
        <v>14264.91</v>
      </c>
      <c r="Q72" s="2"/>
      <c r="R72" s="6">
        <f t="shared" si="52"/>
        <v>0</v>
      </c>
      <c r="S72" s="2"/>
      <c r="T72" s="7">
        <v>14311.56</v>
      </c>
      <c r="U72" s="2"/>
      <c r="V72" s="6">
        <f t="shared" si="53"/>
        <v>0</v>
      </c>
      <c r="W72" s="2"/>
      <c r="X72" s="7">
        <f t="shared" si="54"/>
        <v>-46.649999999999636</v>
      </c>
      <c r="Y72" s="2"/>
      <c r="Z72" s="6">
        <f t="shared" si="55"/>
        <v>-3.2596027267467443E-3</v>
      </c>
    </row>
    <row r="73" spans="1:26" s="29" customFormat="1" outlineLevel="1" collapsed="1" x14ac:dyDescent="0.3">
      <c r="A73" s="28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SUM(OSRRefD22_16x_0)</f>
        <v>4067.35</v>
      </c>
      <c r="E73" s="1"/>
      <c r="F73" s="5">
        <f t="shared" ref="F73:F76" si="56">IF(D$12=0,0,D73/D$12)</f>
        <v>0</v>
      </c>
      <c r="G73" s="1"/>
      <c r="H73" s="1">
        <f>SUM(OSRRefH22_16x_0)</f>
        <v>5463.73</v>
      </c>
      <c r="I73" s="1"/>
      <c r="J73" s="5">
        <f t="shared" ref="J73:J76" si="57">IF(H$12=0,0,H73/H$12)</f>
        <v>0</v>
      </c>
      <c r="K73" s="1"/>
      <c r="L73" s="1">
        <f t="shared" ref="L73:L76" si="58">+D73-H73</f>
        <v>-1396.3799999999997</v>
      </c>
      <c r="M73" s="1"/>
      <c r="N73" s="5">
        <f t="shared" ref="N73:N76" si="59">IF(H73=0,0,L73/H73)</f>
        <v>-0.25557265823896858</v>
      </c>
      <c r="O73" s="14"/>
      <c r="P73" s="1">
        <f>SUM(OSRRefP22_16x_0)</f>
        <v>35387.17</v>
      </c>
      <c r="Q73" s="1"/>
      <c r="R73" s="5">
        <f t="shared" ref="R73:R76" si="60">IF(P$12=0,0,P73/P$12)</f>
        <v>0</v>
      </c>
      <c r="S73" s="1"/>
      <c r="T73" s="1">
        <f>SUM(OSRRefT22_16x_0)</f>
        <v>24436.16</v>
      </c>
      <c r="U73" s="1"/>
      <c r="V73" s="5">
        <f t="shared" ref="V73:V76" si="61">IF(T$12=0,0,T73/T$12)</f>
        <v>0</v>
      </c>
      <c r="W73" s="1"/>
      <c r="X73" s="1">
        <f t="shared" ref="X73:X76" si="62">+P73-T73</f>
        <v>10951.009999999998</v>
      </c>
      <c r="Y73" s="1"/>
      <c r="Z73" s="5">
        <f t="shared" ref="Z73:Z76" si="63">IF(T73=0,0,X73/T73)</f>
        <v>0.44814774498120813</v>
      </c>
    </row>
    <row r="74" spans="1:26" s="24" customFormat="1" hidden="1" outlineLevel="2" x14ac:dyDescent="0.3">
      <c r="A74" s="27"/>
      <c r="B74" s="11" t="str">
        <f>CONCATENATE("          ", "6282", " - ", "JANITORIAL/EXTERMINATOR EXPENS")</f>
        <v xml:space="preserve">          6282 - JANITORIAL/EXTERMINATOR EXPENS</v>
      </c>
      <c r="C74" s="11"/>
      <c r="D74" s="7"/>
      <c r="E74" s="2"/>
      <c r="F74" s="6">
        <f t="shared" si="56"/>
        <v>0</v>
      </c>
      <c r="G74" s="2"/>
      <c r="H74" s="7">
        <v>1613</v>
      </c>
      <c r="I74" s="2"/>
      <c r="J74" s="6">
        <f t="shared" si="57"/>
        <v>0</v>
      </c>
      <c r="K74" s="2"/>
      <c r="L74" s="7">
        <f t="shared" si="58"/>
        <v>-1613</v>
      </c>
      <c r="M74" s="2"/>
      <c r="N74" s="6">
        <f t="shared" si="59"/>
        <v>-1</v>
      </c>
      <c r="O74" s="11"/>
      <c r="P74" s="7">
        <v>1495.08</v>
      </c>
      <c r="Q74" s="2"/>
      <c r="R74" s="6">
        <f t="shared" si="60"/>
        <v>0</v>
      </c>
      <c r="S74" s="2"/>
      <c r="T74" s="7">
        <v>6777.12</v>
      </c>
      <c r="U74" s="2"/>
      <c r="V74" s="6">
        <f t="shared" si="61"/>
        <v>0</v>
      </c>
      <c r="W74" s="2"/>
      <c r="X74" s="7">
        <f t="shared" si="62"/>
        <v>-5282.04</v>
      </c>
      <c r="Y74" s="2"/>
      <c r="Z74" s="6">
        <f t="shared" si="63"/>
        <v>-0.77939301650258519</v>
      </c>
    </row>
    <row r="75" spans="1:26" s="24" customFormat="1" hidden="1" outlineLevel="2" x14ac:dyDescent="0.3">
      <c r="A75" s="27"/>
      <c r="B75" s="11" t="str">
        <f>CONCATENATE("          ", "6283", " - ", "PLANT SERVICE")</f>
        <v xml:space="preserve">          6283 - PLANT SERVICE</v>
      </c>
      <c r="C75" s="11"/>
      <c r="D75" s="7"/>
      <c r="E75" s="2"/>
      <c r="F75" s="6">
        <f t="shared" si="56"/>
        <v>0</v>
      </c>
      <c r="G75" s="2"/>
      <c r="H75" s="7"/>
      <c r="I75" s="2"/>
      <c r="J75" s="6">
        <f t="shared" si="57"/>
        <v>0</v>
      </c>
      <c r="K75" s="2"/>
      <c r="L75" s="7">
        <f t="shared" si="58"/>
        <v>0</v>
      </c>
      <c r="M75" s="2"/>
      <c r="N75" s="6">
        <f t="shared" si="59"/>
        <v>0</v>
      </c>
      <c r="O75" s="11"/>
      <c r="P75" s="7"/>
      <c r="Q75" s="2"/>
      <c r="R75" s="6">
        <f t="shared" si="60"/>
        <v>0</v>
      </c>
      <c r="S75" s="2"/>
      <c r="T75" s="7">
        <v>130</v>
      </c>
      <c r="U75" s="2"/>
      <c r="V75" s="6">
        <f t="shared" si="61"/>
        <v>0</v>
      </c>
      <c r="W75" s="2"/>
      <c r="X75" s="7">
        <f t="shared" si="62"/>
        <v>-130</v>
      </c>
      <c r="Y75" s="2"/>
      <c r="Z75" s="6">
        <f t="shared" si="63"/>
        <v>-1</v>
      </c>
    </row>
    <row r="76" spans="1:26" s="24" customFormat="1" hidden="1" outlineLevel="2" x14ac:dyDescent="0.3">
      <c r="A76" s="27"/>
      <c r="B76" s="11" t="str">
        <f>CONCATENATE("          ", "6285", " - ", "JANITORIAL SERVICES")</f>
        <v xml:space="preserve">          6285 - JANITORIAL SERVICES</v>
      </c>
      <c r="C76" s="11"/>
      <c r="D76" s="7">
        <v>4067.35</v>
      </c>
      <c r="E76" s="2"/>
      <c r="F76" s="6">
        <f t="shared" si="56"/>
        <v>0</v>
      </c>
      <c r="G76" s="2"/>
      <c r="H76" s="7">
        <v>3850.73</v>
      </c>
      <c r="I76" s="2"/>
      <c r="J76" s="6">
        <f t="shared" si="57"/>
        <v>0</v>
      </c>
      <c r="K76" s="2"/>
      <c r="L76" s="7">
        <f t="shared" si="58"/>
        <v>216.61999999999989</v>
      </c>
      <c r="M76" s="2"/>
      <c r="N76" s="6">
        <f t="shared" si="59"/>
        <v>5.6254268671135053E-2</v>
      </c>
      <c r="O76" s="11"/>
      <c r="P76" s="7">
        <v>33892.089999999997</v>
      </c>
      <c r="Q76" s="2"/>
      <c r="R76" s="6">
        <f t="shared" si="60"/>
        <v>0</v>
      </c>
      <c r="S76" s="2"/>
      <c r="T76" s="7">
        <v>17529.04</v>
      </c>
      <c r="U76" s="2"/>
      <c r="V76" s="6">
        <f t="shared" si="61"/>
        <v>0</v>
      </c>
      <c r="W76" s="2"/>
      <c r="X76" s="7">
        <f t="shared" si="62"/>
        <v>16363.049999999996</v>
      </c>
      <c r="Y76" s="2"/>
      <c r="Z76" s="6">
        <f t="shared" si="63"/>
        <v>0.93348238123707827</v>
      </c>
    </row>
    <row r="77" spans="1:26" s="29" customFormat="1" outlineLevel="1" collapsed="1" x14ac:dyDescent="0.3">
      <c r="A77" s="28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SUM(OSRRefD22_17x_0)</f>
        <v>0</v>
      </c>
      <c r="E77" s="1"/>
      <c r="F77" s="5">
        <f t="shared" ref="F77:F85" si="64">IF(D$12=0,0,D77/D$12)</f>
        <v>0</v>
      </c>
      <c r="G77" s="1"/>
      <c r="H77" s="1">
        <f>SUM(OSRRefH22_17x_0)</f>
        <v>0</v>
      </c>
      <c r="I77" s="1"/>
      <c r="J77" s="5">
        <f t="shared" ref="J77:J85" si="65">IF(H$12=0,0,H77/H$12)</f>
        <v>0</v>
      </c>
      <c r="K77" s="1"/>
      <c r="L77" s="1">
        <f t="shared" ref="L77:L85" si="66">+D77-H77</f>
        <v>0</v>
      </c>
      <c r="M77" s="1"/>
      <c r="N77" s="5">
        <f t="shared" ref="N77:N85" si="67">IF(H77=0,0,L77/H77)</f>
        <v>0</v>
      </c>
      <c r="O77" s="14"/>
      <c r="P77" s="1">
        <f>SUM(OSRRefP22_17x_0)</f>
        <v>-120</v>
      </c>
      <c r="Q77" s="1"/>
      <c r="R77" s="5">
        <f t="shared" ref="R77:R85" si="68">IF(P$12=0,0,P77/P$12)</f>
        <v>0</v>
      </c>
      <c r="S77" s="1"/>
      <c r="T77" s="1">
        <f>SUM(OSRRefT22_17x_0)</f>
        <v>0</v>
      </c>
      <c r="U77" s="1"/>
      <c r="V77" s="5">
        <f t="shared" ref="V77:V85" si="69">IF(T$12=0,0,T77/T$12)</f>
        <v>0</v>
      </c>
      <c r="W77" s="1"/>
      <c r="X77" s="1">
        <f t="shared" ref="X77:X85" si="70">+P77-T77</f>
        <v>-120</v>
      </c>
      <c r="Y77" s="1"/>
      <c r="Z77" s="5">
        <f t="shared" ref="Z77:Z85" si="71">IF(T77=0,0,X77/T77)</f>
        <v>0</v>
      </c>
    </row>
    <row r="78" spans="1:26" s="24" customFormat="1" hidden="1" outlineLevel="2" x14ac:dyDescent="0.3">
      <c r="A78" s="27"/>
      <c r="B78" s="11" t="str">
        <f>CONCATENATE("          ", "6258", " - ", "MEMBERSHIP DUES")</f>
        <v xml:space="preserve">          6258 - MEMBERSHIP DUES</v>
      </c>
      <c r="C78" s="11"/>
      <c r="D78" s="7"/>
      <c r="E78" s="2"/>
      <c r="F78" s="6">
        <f t="shared" si="64"/>
        <v>0</v>
      </c>
      <c r="G78" s="2"/>
      <c r="H78" s="7"/>
      <c r="I78" s="2"/>
      <c r="J78" s="6">
        <f t="shared" si="65"/>
        <v>0</v>
      </c>
      <c r="K78" s="2"/>
      <c r="L78" s="7">
        <f t="shared" si="66"/>
        <v>0</v>
      </c>
      <c r="M78" s="2"/>
      <c r="N78" s="6">
        <f t="shared" si="67"/>
        <v>0</v>
      </c>
      <c r="O78" s="11"/>
      <c r="P78" s="7">
        <v>-120</v>
      </c>
      <c r="Q78" s="2"/>
      <c r="R78" s="6">
        <f t="shared" si="68"/>
        <v>0</v>
      </c>
      <c r="S78" s="2"/>
      <c r="T78" s="7"/>
      <c r="U78" s="2"/>
      <c r="V78" s="6">
        <f t="shared" si="69"/>
        <v>0</v>
      </c>
      <c r="W78" s="2"/>
      <c r="X78" s="7">
        <f t="shared" si="70"/>
        <v>-120</v>
      </c>
      <c r="Y78" s="2"/>
      <c r="Z78" s="6">
        <f t="shared" si="71"/>
        <v>0</v>
      </c>
    </row>
    <row r="79" spans="1:26" s="29" customFormat="1" outlineLevel="1" collapsed="1" x14ac:dyDescent="0.3">
      <c r="A79" s="28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SUM(OSRRefD22_18x_0)</f>
        <v>2958.84</v>
      </c>
      <c r="E79" s="1"/>
      <c r="F79" s="5">
        <f t="shared" si="64"/>
        <v>0</v>
      </c>
      <c r="G79" s="1"/>
      <c r="H79" s="1">
        <f>SUM(OSRRefH22_18x_0)</f>
        <v>3619.8199999999997</v>
      </c>
      <c r="I79" s="1"/>
      <c r="J79" s="5">
        <f t="shared" si="65"/>
        <v>0</v>
      </c>
      <c r="K79" s="1"/>
      <c r="L79" s="1">
        <f t="shared" si="66"/>
        <v>-660.97999999999956</v>
      </c>
      <c r="M79" s="1"/>
      <c r="N79" s="5">
        <f t="shared" si="67"/>
        <v>-0.18260023979092874</v>
      </c>
      <c r="O79" s="14"/>
      <c r="P79" s="1">
        <f>SUM(OSRRefP22_18x_0)</f>
        <v>22443.57</v>
      </c>
      <c r="Q79" s="1"/>
      <c r="R79" s="5">
        <f t="shared" si="68"/>
        <v>0</v>
      </c>
      <c r="S79" s="1"/>
      <c r="T79" s="1">
        <f>SUM(OSRRefT22_18x_0)</f>
        <v>48922.29</v>
      </c>
      <c r="U79" s="1"/>
      <c r="V79" s="5">
        <f t="shared" si="69"/>
        <v>0</v>
      </c>
      <c r="W79" s="1"/>
      <c r="X79" s="1">
        <f t="shared" si="70"/>
        <v>-26478.720000000001</v>
      </c>
      <c r="Y79" s="1"/>
      <c r="Z79" s="5">
        <f t="shared" si="71"/>
        <v>-0.54124040391404415</v>
      </c>
    </row>
    <row r="80" spans="1:26" s="24" customFormat="1" hidden="1" outlineLevel="2" x14ac:dyDescent="0.3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7"/>
      <c r="E80" s="2"/>
      <c r="F80" s="6">
        <f t="shared" si="64"/>
        <v>0</v>
      </c>
      <c r="G80" s="2"/>
      <c r="H80" s="7"/>
      <c r="I80" s="2"/>
      <c r="J80" s="6">
        <f t="shared" si="65"/>
        <v>0</v>
      </c>
      <c r="K80" s="2"/>
      <c r="L80" s="7">
        <f t="shared" si="66"/>
        <v>0</v>
      </c>
      <c r="M80" s="2"/>
      <c r="N80" s="6">
        <f t="shared" si="67"/>
        <v>0</v>
      </c>
      <c r="O80" s="11"/>
      <c r="P80" s="7">
        <v>3896.02</v>
      </c>
      <c r="Q80" s="2"/>
      <c r="R80" s="6">
        <f t="shared" si="68"/>
        <v>0</v>
      </c>
      <c r="S80" s="2"/>
      <c r="T80" s="7">
        <v>-449.34</v>
      </c>
      <c r="U80" s="2"/>
      <c r="V80" s="6">
        <f t="shared" si="69"/>
        <v>0</v>
      </c>
      <c r="W80" s="2"/>
      <c r="X80" s="7">
        <f t="shared" si="70"/>
        <v>4345.3599999999997</v>
      </c>
      <c r="Y80" s="2"/>
      <c r="Z80" s="6">
        <f t="shared" si="71"/>
        <v>-9.6705390127742916</v>
      </c>
    </row>
    <row r="81" spans="1:26" s="24" customFormat="1" hidden="1" outlineLevel="2" x14ac:dyDescent="0.3">
      <c r="A81" s="27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6">
        <f t="shared" si="64"/>
        <v>0</v>
      </c>
      <c r="G81" s="2"/>
      <c r="H81" s="7">
        <v>2921.2</v>
      </c>
      <c r="I81" s="2"/>
      <c r="J81" s="6">
        <f t="shared" si="65"/>
        <v>0</v>
      </c>
      <c r="K81" s="2"/>
      <c r="L81" s="7">
        <f t="shared" si="66"/>
        <v>-2921.2</v>
      </c>
      <c r="M81" s="2"/>
      <c r="N81" s="6">
        <f t="shared" si="67"/>
        <v>-1</v>
      </c>
      <c r="O81" s="11"/>
      <c r="P81" s="7">
        <v>3430.32</v>
      </c>
      <c r="Q81" s="2"/>
      <c r="R81" s="6">
        <f t="shared" si="68"/>
        <v>0</v>
      </c>
      <c r="S81" s="2"/>
      <c r="T81" s="7">
        <v>32251.69</v>
      </c>
      <c r="U81" s="2"/>
      <c r="V81" s="6">
        <f t="shared" si="69"/>
        <v>0</v>
      </c>
      <c r="W81" s="2"/>
      <c r="X81" s="7">
        <f t="shared" si="70"/>
        <v>-28821.37</v>
      </c>
      <c r="Y81" s="2"/>
      <c r="Z81" s="6">
        <f t="shared" si="71"/>
        <v>-0.89363906201504484</v>
      </c>
    </row>
    <row r="82" spans="1:26" s="24" customFormat="1" hidden="1" outlineLevel="2" x14ac:dyDescent="0.3">
      <c r="A82" s="27"/>
      <c r="B82" s="11" t="str">
        <f>CONCATENATE("          ", "6237", " - ", "JANITORIAL SUPPLIES")</f>
        <v xml:space="preserve">          6237 - JANITORIAL SUPPLIES</v>
      </c>
      <c r="C82" s="11"/>
      <c r="D82" s="7">
        <v>665.03</v>
      </c>
      <c r="E82" s="2"/>
      <c r="F82" s="6">
        <f t="shared" si="64"/>
        <v>0</v>
      </c>
      <c r="G82" s="2"/>
      <c r="H82" s="7">
        <v>329.77</v>
      </c>
      <c r="I82" s="2"/>
      <c r="J82" s="6">
        <f t="shared" si="65"/>
        <v>0</v>
      </c>
      <c r="K82" s="2"/>
      <c r="L82" s="7">
        <f t="shared" si="66"/>
        <v>335.26</v>
      </c>
      <c r="M82" s="2"/>
      <c r="N82" s="6">
        <f t="shared" si="67"/>
        <v>1.0166479667647148</v>
      </c>
      <c r="O82" s="11"/>
      <c r="P82" s="7">
        <v>4454</v>
      </c>
      <c r="Q82" s="2"/>
      <c r="R82" s="6">
        <f t="shared" si="68"/>
        <v>0</v>
      </c>
      <c r="S82" s="2"/>
      <c r="T82" s="7">
        <v>2071.91</v>
      </c>
      <c r="U82" s="2"/>
      <c r="V82" s="6">
        <f t="shared" si="69"/>
        <v>0</v>
      </c>
      <c r="W82" s="2"/>
      <c r="X82" s="7">
        <f t="shared" si="70"/>
        <v>2382.09</v>
      </c>
      <c r="Y82" s="2"/>
      <c r="Z82" s="6">
        <f t="shared" si="71"/>
        <v>1.1497072749298958</v>
      </c>
    </row>
    <row r="83" spans="1:26" s="24" customFormat="1" hidden="1" outlineLevel="2" x14ac:dyDescent="0.3">
      <c r="A83" s="27"/>
      <c r="B83" s="11" t="str">
        <f>CONCATENATE("          ", "6241", " - ", "OFFICE EXPENSE")</f>
        <v xml:space="preserve">          6241 - OFFICE EXPENSE</v>
      </c>
      <c r="C83" s="11"/>
      <c r="D83" s="7">
        <v>289.45</v>
      </c>
      <c r="E83" s="2"/>
      <c r="F83" s="6">
        <f t="shared" si="64"/>
        <v>0</v>
      </c>
      <c r="G83" s="2"/>
      <c r="H83" s="7">
        <v>21.92</v>
      </c>
      <c r="I83" s="2"/>
      <c r="J83" s="6">
        <f t="shared" si="65"/>
        <v>0</v>
      </c>
      <c r="K83" s="2"/>
      <c r="L83" s="7">
        <f t="shared" si="66"/>
        <v>267.52999999999997</v>
      </c>
      <c r="M83" s="2"/>
      <c r="N83" s="6">
        <f t="shared" si="67"/>
        <v>12.204835766423356</v>
      </c>
      <c r="O83" s="11"/>
      <c r="P83" s="7">
        <v>1333.6</v>
      </c>
      <c r="Q83" s="2"/>
      <c r="R83" s="6">
        <f t="shared" si="68"/>
        <v>0</v>
      </c>
      <c r="S83" s="2"/>
      <c r="T83" s="7">
        <v>2295.9699999999998</v>
      </c>
      <c r="U83" s="2"/>
      <c r="V83" s="6">
        <f t="shared" si="69"/>
        <v>0</v>
      </c>
      <c r="W83" s="2"/>
      <c r="X83" s="7">
        <f t="shared" si="70"/>
        <v>-962.36999999999989</v>
      </c>
      <c r="Y83" s="2"/>
      <c r="Z83" s="6">
        <f t="shared" si="71"/>
        <v>-0.41915617364338381</v>
      </c>
    </row>
    <row r="84" spans="1:26" s="24" customFormat="1" hidden="1" outlineLevel="2" x14ac:dyDescent="0.3">
      <c r="A84" s="27"/>
      <c r="B84" s="11" t="str">
        <f>CONCATENATE("          ", "6245", " - ", "PRINTING")</f>
        <v xml:space="preserve">          6245 - PRINTING</v>
      </c>
      <c r="C84" s="11"/>
      <c r="D84" s="7">
        <v>613.14</v>
      </c>
      <c r="E84" s="2"/>
      <c r="F84" s="6">
        <f t="shared" si="64"/>
        <v>0</v>
      </c>
      <c r="G84" s="2"/>
      <c r="H84" s="7"/>
      <c r="I84" s="2"/>
      <c r="J84" s="6">
        <f t="shared" si="65"/>
        <v>0</v>
      </c>
      <c r="K84" s="2"/>
      <c r="L84" s="7">
        <f t="shared" si="66"/>
        <v>613.14</v>
      </c>
      <c r="M84" s="2"/>
      <c r="N84" s="6">
        <f t="shared" si="67"/>
        <v>0</v>
      </c>
      <c r="O84" s="11"/>
      <c r="P84" s="7">
        <v>1618.44</v>
      </c>
      <c r="Q84" s="2"/>
      <c r="R84" s="6">
        <f t="shared" si="68"/>
        <v>0</v>
      </c>
      <c r="S84" s="2"/>
      <c r="T84" s="7">
        <v>68.66</v>
      </c>
      <c r="U84" s="2"/>
      <c r="V84" s="6">
        <f t="shared" si="69"/>
        <v>0</v>
      </c>
      <c r="W84" s="2"/>
      <c r="X84" s="7">
        <f t="shared" si="70"/>
        <v>1549.78</v>
      </c>
      <c r="Y84" s="2"/>
      <c r="Z84" s="6">
        <f t="shared" si="71"/>
        <v>22.571803087678415</v>
      </c>
    </row>
    <row r="85" spans="1:26" s="24" customFormat="1" hidden="1" outlineLevel="2" x14ac:dyDescent="0.3">
      <c r="A85" s="27"/>
      <c r="B85" s="11" t="str">
        <f>CONCATENATE("          ", "6247", " - ", "STORE SUPPLIES")</f>
        <v xml:space="preserve">          6247 - STORE SUPPLIES</v>
      </c>
      <c r="C85" s="11"/>
      <c r="D85" s="7">
        <v>1391.22</v>
      </c>
      <c r="E85" s="2"/>
      <c r="F85" s="6">
        <f t="shared" si="64"/>
        <v>0</v>
      </c>
      <c r="G85" s="2"/>
      <c r="H85" s="7">
        <v>346.93</v>
      </c>
      <c r="I85" s="2"/>
      <c r="J85" s="6">
        <f t="shared" si="65"/>
        <v>0</v>
      </c>
      <c r="K85" s="2"/>
      <c r="L85" s="7">
        <f t="shared" si="66"/>
        <v>1044.29</v>
      </c>
      <c r="M85" s="2"/>
      <c r="N85" s="6">
        <f t="shared" si="67"/>
        <v>3.0100884904735823</v>
      </c>
      <c r="O85" s="11"/>
      <c r="P85" s="7">
        <v>7711.19</v>
      </c>
      <c r="Q85" s="2"/>
      <c r="R85" s="6">
        <f t="shared" si="68"/>
        <v>0</v>
      </c>
      <c r="S85" s="2"/>
      <c r="T85" s="7">
        <v>12683.4</v>
      </c>
      <c r="U85" s="2"/>
      <c r="V85" s="6">
        <f t="shared" si="69"/>
        <v>0</v>
      </c>
      <c r="W85" s="2"/>
      <c r="X85" s="7">
        <f t="shared" si="70"/>
        <v>-4972.21</v>
      </c>
      <c r="Y85" s="2"/>
      <c r="Z85" s="6">
        <f t="shared" si="71"/>
        <v>-0.39202500906696947</v>
      </c>
    </row>
    <row r="86" spans="1:26" s="29" customFormat="1" outlineLevel="1" collapsed="1" x14ac:dyDescent="0.3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SUM(OSRRefD22_19x_0)</f>
        <v>563.20000000000005</v>
      </c>
      <c r="E86" s="1"/>
      <c r="F86" s="5">
        <f t="shared" ref="F86:F92" si="72">IF(D$12=0,0,D86/D$12)</f>
        <v>0</v>
      </c>
      <c r="G86" s="1"/>
      <c r="H86" s="1">
        <f>SUM(OSRRefH22_19x_0)</f>
        <v>473.32</v>
      </c>
      <c r="I86" s="1"/>
      <c r="J86" s="5">
        <f t="shared" ref="J86:J92" si="73">IF(H$12=0,0,H86/H$12)</f>
        <v>0</v>
      </c>
      <c r="K86" s="1"/>
      <c r="L86" s="1">
        <f t="shared" ref="L86:L92" si="74">+D86-H86</f>
        <v>89.880000000000052</v>
      </c>
      <c r="M86" s="1"/>
      <c r="N86" s="5">
        <f t="shared" ref="N86:N92" si="75">IF(H86=0,0,L86/H86)</f>
        <v>0.1898926730330433</v>
      </c>
      <c r="O86" s="14"/>
      <c r="P86" s="1">
        <f>SUM(OSRRefP22_19x_0)</f>
        <v>4202.32</v>
      </c>
      <c r="Q86" s="1"/>
      <c r="R86" s="5">
        <f t="shared" ref="R86:R92" si="76">IF(P$12=0,0,P86/P$12)</f>
        <v>0</v>
      </c>
      <c r="S86" s="1"/>
      <c r="T86" s="1">
        <f>SUM(OSRRefT22_19x_0)</f>
        <v>4206.26</v>
      </c>
      <c r="U86" s="1"/>
      <c r="V86" s="5">
        <f t="shared" ref="V86:V92" si="77">IF(T$12=0,0,T86/T$12)</f>
        <v>0</v>
      </c>
      <c r="W86" s="1"/>
      <c r="X86" s="1">
        <f t="shared" ref="X86:X92" si="78">+P86-T86</f>
        <v>-3.9400000000005093</v>
      </c>
      <c r="Y86" s="1"/>
      <c r="Z86" s="5">
        <f t="shared" ref="Z86:Z92" si="79">IF(T86=0,0,X86/T86)</f>
        <v>-9.3669911037370707E-4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7">
        <v>563.20000000000005</v>
      </c>
      <c r="E87" s="2"/>
      <c r="F87" s="6">
        <f t="shared" si="72"/>
        <v>0</v>
      </c>
      <c r="G87" s="2"/>
      <c r="H87" s="7">
        <v>473.32</v>
      </c>
      <c r="I87" s="2"/>
      <c r="J87" s="6">
        <f t="shared" si="73"/>
        <v>0</v>
      </c>
      <c r="K87" s="2"/>
      <c r="L87" s="7">
        <f t="shared" si="74"/>
        <v>89.880000000000052</v>
      </c>
      <c r="M87" s="2"/>
      <c r="N87" s="6">
        <f t="shared" si="75"/>
        <v>0.1898926730330433</v>
      </c>
      <c r="O87" s="11"/>
      <c r="P87" s="7">
        <v>4202.32</v>
      </c>
      <c r="Q87" s="2"/>
      <c r="R87" s="6">
        <f t="shared" si="76"/>
        <v>0</v>
      </c>
      <c r="S87" s="2"/>
      <c r="T87" s="7">
        <v>4206.26</v>
      </c>
      <c r="U87" s="2"/>
      <c r="V87" s="6">
        <f t="shared" si="77"/>
        <v>0</v>
      </c>
      <c r="W87" s="2"/>
      <c r="X87" s="7">
        <f t="shared" si="78"/>
        <v>-3.9400000000005093</v>
      </c>
      <c r="Y87" s="2"/>
      <c r="Z87" s="6">
        <f t="shared" si="79"/>
        <v>-9.3669911037370707E-4</v>
      </c>
    </row>
    <row r="88" spans="1:26" s="29" customFormat="1" outlineLevel="1" collapsed="1" x14ac:dyDescent="0.3">
      <c r="A88" s="28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SUM(OSRRefD22_20x_0)</f>
        <v>0</v>
      </c>
      <c r="E88" s="1"/>
      <c r="F88" s="5">
        <f t="shared" si="72"/>
        <v>0</v>
      </c>
      <c r="G88" s="1"/>
      <c r="H88" s="1">
        <f>SUM(OSRRefH22_20x_0)</f>
        <v>0</v>
      </c>
      <c r="I88" s="1"/>
      <c r="J88" s="5">
        <f t="shared" si="73"/>
        <v>0</v>
      </c>
      <c r="K88" s="1"/>
      <c r="L88" s="1">
        <f t="shared" si="74"/>
        <v>0</v>
      </c>
      <c r="M88" s="1"/>
      <c r="N88" s="5">
        <f t="shared" si="75"/>
        <v>0</v>
      </c>
      <c r="O88" s="14"/>
      <c r="P88" s="1">
        <f>SUM(OSRRefP22_20x_0)</f>
        <v>595</v>
      </c>
      <c r="Q88" s="1"/>
      <c r="R88" s="5">
        <f t="shared" si="76"/>
        <v>0</v>
      </c>
      <c r="S88" s="1"/>
      <c r="T88" s="1">
        <f>SUM(OSRRefT22_20x_0)</f>
        <v>131.63</v>
      </c>
      <c r="U88" s="1"/>
      <c r="V88" s="5">
        <f t="shared" si="77"/>
        <v>0</v>
      </c>
      <c r="W88" s="1"/>
      <c r="X88" s="1">
        <f t="shared" si="78"/>
        <v>463.37</v>
      </c>
      <c r="Y88" s="1"/>
      <c r="Z88" s="5">
        <f t="shared" si="79"/>
        <v>3.5202461444959359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72"/>
        <v>0</v>
      </c>
      <c r="G89" s="2"/>
      <c r="H89" s="7"/>
      <c r="I89" s="2"/>
      <c r="J89" s="6">
        <f t="shared" si="73"/>
        <v>0</v>
      </c>
      <c r="K89" s="2"/>
      <c r="L89" s="7">
        <f t="shared" si="74"/>
        <v>0</v>
      </c>
      <c r="M89" s="2"/>
      <c r="N89" s="6">
        <f t="shared" si="75"/>
        <v>0</v>
      </c>
      <c r="O89" s="11"/>
      <c r="P89" s="7">
        <v>595</v>
      </c>
      <c r="Q89" s="2"/>
      <c r="R89" s="6">
        <f t="shared" si="76"/>
        <v>0</v>
      </c>
      <c r="S89" s="2"/>
      <c r="T89" s="7">
        <v>131.63</v>
      </c>
      <c r="U89" s="2"/>
      <c r="V89" s="6">
        <f t="shared" si="77"/>
        <v>0</v>
      </c>
      <c r="W89" s="2"/>
      <c r="X89" s="7">
        <f t="shared" si="78"/>
        <v>463.37</v>
      </c>
      <c r="Y89" s="2"/>
      <c r="Z89" s="6">
        <f t="shared" si="79"/>
        <v>3.5202461444959359</v>
      </c>
    </row>
    <row r="90" spans="1:26" s="29" customFormat="1" outlineLevel="1" collapsed="1" x14ac:dyDescent="0.3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SUM(OSRRefD22_21x_0)</f>
        <v>0</v>
      </c>
      <c r="E90" s="1"/>
      <c r="F90" s="5">
        <f t="shared" si="72"/>
        <v>0</v>
      </c>
      <c r="G90" s="1"/>
      <c r="H90" s="1">
        <f>SUM(OSRRefH22_21x_0)</f>
        <v>0</v>
      </c>
      <c r="I90" s="1"/>
      <c r="J90" s="5">
        <f t="shared" si="73"/>
        <v>0</v>
      </c>
      <c r="K90" s="1"/>
      <c r="L90" s="1">
        <f t="shared" si="74"/>
        <v>0</v>
      </c>
      <c r="M90" s="1"/>
      <c r="N90" s="5">
        <f t="shared" si="75"/>
        <v>0</v>
      </c>
      <c r="O90" s="14"/>
      <c r="P90" s="1">
        <f>SUM(OSRRefP22_21x_0)</f>
        <v>642.08000000000004</v>
      </c>
      <c r="Q90" s="1"/>
      <c r="R90" s="5">
        <f t="shared" si="76"/>
        <v>0</v>
      </c>
      <c r="S90" s="1"/>
      <c r="T90" s="1">
        <f>SUM(OSRRefT22_21x_0)</f>
        <v>358.89</v>
      </c>
      <c r="U90" s="1"/>
      <c r="V90" s="5">
        <f t="shared" si="77"/>
        <v>0</v>
      </c>
      <c r="W90" s="1"/>
      <c r="X90" s="1">
        <f t="shared" si="78"/>
        <v>283.19000000000005</v>
      </c>
      <c r="Y90" s="1"/>
      <c r="Z90" s="5">
        <f t="shared" si="79"/>
        <v>0.78907186045863653</v>
      </c>
    </row>
    <row r="91" spans="1:26" s="24" customFormat="1" hidden="1" outlineLevel="2" x14ac:dyDescent="0.3">
      <c r="A91" s="27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72"/>
        <v>0</v>
      </c>
      <c r="G91" s="2"/>
      <c r="H91" s="7"/>
      <c r="I91" s="2"/>
      <c r="J91" s="6">
        <f t="shared" si="73"/>
        <v>0</v>
      </c>
      <c r="K91" s="2"/>
      <c r="L91" s="7">
        <f t="shared" si="74"/>
        <v>0</v>
      </c>
      <c r="M91" s="2"/>
      <c r="N91" s="6">
        <f t="shared" si="75"/>
        <v>0</v>
      </c>
      <c r="O91" s="11"/>
      <c r="P91" s="7">
        <v>495</v>
      </c>
      <c r="Q91" s="2"/>
      <c r="R91" s="6">
        <f t="shared" si="76"/>
        <v>0</v>
      </c>
      <c r="S91" s="2"/>
      <c r="T91" s="7">
        <v>299</v>
      </c>
      <c r="U91" s="2"/>
      <c r="V91" s="6">
        <f t="shared" si="77"/>
        <v>0</v>
      </c>
      <c r="W91" s="2"/>
      <c r="X91" s="7">
        <f t="shared" si="78"/>
        <v>196</v>
      </c>
      <c r="Y91" s="2"/>
      <c r="Z91" s="6">
        <f t="shared" si="79"/>
        <v>0.65551839464882944</v>
      </c>
    </row>
    <row r="92" spans="1:26" s="24" customFormat="1" hidden="1" outlineLevel="2" x14ac:dyDescent="0.3">
      <c r="A92" s="27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72"/>
        <v>0</v>
      </c>
      <c r="G92" s="2"/>
      <c r="H92" s="7"/>
      <c r="I92" s="2"/>
      <c r="J92" s="6">
        <f t="shared" si="73"/>
        <v>0</v>
      </c>
      <c r="K92" s="2"/>
      <c r="L92" s="7">
        <f t="shared" si="74"/>
        <v>0</v>
      </c>
      <c r="M92" s="2"/>
      <c r="N92" s="6">
        <f t="shared" si="75"/>
        <v>0</v>
      </c>
      <c r="O92" s="11"/>
      <c r="P92" s="7">
        <v>147.08000000000001</v>
      </c>
      <c r="Q92" s="2"/>
      <c r="R92" s="6">
        <f t="shared" si="76"/>
        <v>0</v>
      </c>
      <c r="S92" s="2"/>
      <c r="T92" s="7">
        <v>59.89</v>
      </c>
      <c r="U92" s="2"/>
      <c r="V92" s="6">
        <f t="shared" si="77"/>
        <v>0</v>
      </c>
      <c r="W92" s="2"/>
      <c r="X92" s="7">
        <f t="shared" si="78"/>
        <v>87.190000000000012</v>
      </c>
      <c r="Y92" s="2"/>
      <c r="Z92" s="6">
        <f t="shared" si="79"/>
        <v>1.455835698781099</v>
      </c>
    </row>
    <row r="93" spans="1:26" s="29" customFormat="1" outlineLevel="1" collapsed="1" x14ac:dyDescent="0.3">
      <c r="A93" s="28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SUM(OSRRefD22_22x_0)</f>
        <v>6000</v>
      </c>
      <c r="E93" s="1"/>
      <c r="F93" s="5">
        <f t="shared" ref="F93:F94" si="80">IF(D$12=0,0,D93/D$12)</f>
        <v>0</v>
      </c>
      <c r="G93" s="1"/>
      <c r="H93" s="1">
        <f>SUM(OSRRefH22_22x_0)</f>
        <v>6133</v>
      </c>
      <c r="I93" s="1"/>
      <c r="J93" s="5">
        <f t="shared" ref="J93:J94" si="81">IF(H$12=0,0,H93/H$12)</f>
        <v>0</v>
      </c>
      <c r="K93" s="1"/>
      <c r="L93" s="1">
        <f t="shared" ref="L93:L94" si="82">+D93-H93</f>
        <v>-133</v>
      </c>
      <c r="M93" s="1"/>
      <c r="N93" s="5">
        <f t="shared" ref="N93:N94" si="83">IF(H93=0,0,L93/H93)</f>
        <v>-2.1685961193543126E-2</v>
      </c>
      <c r="O93" s="14"/>
      <c r="P93" s="1">
        <f>SUM(OSRRefP22_22x_0)</f>
        <v>36000</v>
      </c>
      <c r="Q93" s="1"/>
      <c r="R93" s="5">
        <f t="shared" ref="R93:R94" si="84">IF(P$12=0,0,P93/P$12)</f>
        <v>0</v>
      </c>
      <c r="S93" s="1"/>
      <c r="T93" s="1">
        <f>SUM(OSRRefT22_22x_0)</f>
        <v>42735</v>
      </c>
      <c r="U93" s="1"/>
      <c r="V93" s="5">
        <f t="shared" ref="V93:V94" si="85">IF(T$12=0,0,T93/T$12)</f>
        <v>0</v>
      </c>
      <c r="W93" s="1"/>
      <c r="X93" s="1">
        <f t="shared" ref="X93:X94" si="86">+P93-T93</f>
        <v>-6735</v>
      </c>
      <c r="Y93" s="1"/>
      <c r="Z93" s="5">
        <f t="shared" ref="Z93:Z94" si="87">IF(T93=0,0,X93/T93)</f>
        <v>-0.1575991575991576</v>
      </c>
    </row>
    <row r="94" spans="1:26" s="24" customFormat="1" hidden="1" outlineLevel="2" x14ac:dyDescent="0.3">
      <c r="A94" s="27"/>
      <c r="B94" s="11" t="str">
        <f>CONCATENATE("          ", "6274", " - ", "UTILITIES")</f>
        <v xml:space="preserve">          6274 - UTILITIES</v>
      </c>
      <c r="C94" s="11"/>
      <c r="D94" s="7">
        <v>6000</v>
      </c>
      <c r="E94" s="2"/>
      <c r="F94" s="6">
        <f t="shared" si="80"/>
        <v>0</v>
      </c>
      <c r="G94" s="2"/>
      <c r="H94" s="7">
        <v>6133</v>
      </c>
      <c r="I94" s="2"/>
      <c r="J94" s="6">
        <f t="shared" si="81"/>
        <v>0</v>
      </c>
      <c r="K94" s="2"/>
      <c r="L94" s="7">
        <f t="shared" si="82"/>
        <v>-133</v>
      </c>
      <c r="M94" s="2"/>
      <c r="N94" s="6">
        <f t="shared" si="83"/>
        <v>-2.1685961193543126E-2</v>
      </c>
      <c r="O94" s="11"/>
      <c r="P94" s="7">
        <v>36000</v>
      </c>
      <c r="Q94" s="2"/>
      <c r="R94" s="6">
        <f t="shared" si="84"/>
        <v>0</v>
      </c>
      <c r="S94" s="2"/>
      <c r="T94" s="7">
        <v>42735</v>
      </c>
      <c r="U94" s="2"/>
      <c r="V94" s="6">
        <f t="shared" si="85"/>
        <v>0</v>
      </c>
      <c r="W94" s="2"/>
      <c r="X94" s="7">
        <f t="shared" si="86"/>
        <v>-6735</v>
      </c>
      <c r="Y94" s="2"/>
      <c r="Z94" s="6">
        <f t="shared" si="87"/>
        <v>-0.1575991575991576</v>
      </c>
    </row>
    <row r="95" spans="1:26" s="52" customFormat="1" x14ac:dyDescent="0.3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3">
      <c r="A96" s="10"/>
      <c r="B96" s="26" t="s">
        <v>292</v>
      </c>
      <c r="C96" s="10"/>
      <c r="D96" s="4">
        <f>SUM(OSRRefD25x_0)</f>
        <v>3278.81</v>
      </c>
      <c r="E96" s="4"/>
      <c r="F96" s="12">
        <f t="shared" ref="F96:F97" si="88">IF(D$12=0,0,D96/D$12)</f>
        <v>0</v>
      </c>
      <c r="G96" s="4"/>
      <c r="H96" s="4">
        <f>SUM(OSRRefH25x_0)</f>
        <v>2579.89</v>
      </c>
      <c r="I96" s="4"/>
      <c r="J96" s="12">
        <f t="shared" ref="J96:J97" si="89">IF(H$12=0,0,H96/H$12)</f>
        <v>0</v>
      </c>
      <c r="K96" s="4"/>
      <c r="L96" s="4">
        <f t="shared" ref="L96:L97" si="90">+D96-H96</f>
        <v>698.92000000000007</v>
      </c>
      <c r="M96" s="4"/>
      <c r="N96" s="12">
        <f t="shared" ref="N96:N97" si="91">IF(H96=0,0,L96/H96)</f>
        <v>0.27091077526561214</v>
      </c>
      <c r="O96" s="10"/>
      <c r="P96" s="4">
        <f>SUM(OSRRefP25x_0)</f>
        <v>148031.69</v>
      </c>
      <c r="Q96" s="4"/>
      <c r="R96" s="12">
        <f t="shared" ref="R96:R97" si="92">IF(P$12=0,0,P96/P$12)</f>
        <v>0</v>
      </c>
      <c r="S96" s="4"/>
      <c r="T96" s="4">
        <f>SUM(OSRRefT25x_0)</f>
        <v>126303.77</v>
      </c>
      <c r="U96" s="4"/>
      <c r="V96" s="12">
        <f t="shared" ref="V96:V97" si="93">IF(T$12=0,0,T96/T$12)</f>
        <v>0</v>
      </c>
      <c r="W96" s="4"/>
      <c r="X96" s="4">
        <f t="shared" ref="X96:X97" si="94">+P96-T96</f>
        <v>21727.919999999998</v>
      </c>
      <c r="Y96" s="4"/>
      <c r="Z96" s="12">
        <f t="shared" ref="Z96:Z97" si="95">IF(T96=0,0,X96/T96)</f>
        <v>0.17202906928273001</v>
      </c>
    </row>
    <row r="97" spans="1:26" s="24" customFormat="1" hidden="1" outlineLevel="1" x14ac:dyDescent="0.3">
      <c r="A97" s="44"/>
      <c r="B97" s="11" t="str">
        <f>CONCATENATE("          ", "9150", " - ", "MISC. INCOME")</f>
        <v xml:space="preserve">          9150 - MISC. INCOME</v>
      </c>
      <c r="C97" s="11"/>
      <c r="D97" s="2">
        <f>--3278.81</f>
        <v>3278.81</v>
      </c>
      <c r="E97" s="2"/>
      <c r="F97" s="19">
        <f t="shared" si="88"/>
        <v>0</v>
      </c>
      <c r="G97" s="2"/>
      <c r="H97" s="2">
        <f>--2579.89</f>
        <v>2579.89</v>
      </c>
      <c r="I97" s="2"/>
      <c r="J97" s="19">
        <f t="shared" si="89"/>
        <v>0</v>
      </c>
      <c r="K97" s="2"/>
      <c r="L97" s="2">
        <f t="shared" si="90"/>
        <v>698.92000000000007</v>
      </c>
      <c r="M97" s="2"/>
      <c r="N97" s="19">
        <f t="shared" si="91"/>
        <v>0.27091077526561214</v>
      </c>
      <c r="O97" s="11"/>
      <c r="P97" s="2">
        <f>--148031.69</f>
        <v>148031.69</v>
      </c>
      <c r="Q97" s="2"/>
      <c r="R97" s="19">
        <f t="shared" si="92"/>
        <v>0</v>
      </c>
      <c r="S97" s="2"/>
      <c r="T97" s="2">
        <f>--126303.77</f>
        <v>126303.77</v>
      </c>
      <c r="U97" s="2"/>
      <c r="V97" s="19">
        <f t="shared" si="93"/>
        <v>0</v>
      </c>
      <c r="W97" s="2"/>
      <c r="X97" s="2">
        <f t="shared" si="94"/>
        <v>21727.919999999998</v>
      </c>
      <c r="Y97" s="2"/>
      <c r="Z97" s="19">
        <f t="shared" si="95"/>
        <v>0.17202906928273001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10"/>
      <c r="B99" s="25" t="s">
        <v>276</v>
      </c>
      <c r="C99" s="25"/>
      <c r="D99" s="21">
        <f>+D17-D19+D96</f>
        <v>-147304.95000000007</v>
      </c>
      <c r="E99" s="13"/>
      <c r="F99" s="22">
        <f>IF(D$12=0,0,D99/D$12)</f>
        <v>0</v>
      </c>
      <c r="G99" s="13"/>
      <c r="H99" s="21">
        <f>+H17-H19+H96</f>
        <v>-140379.47999999998</v>
      </c>
      <c r="I99" s="13"/>
      <c r="J99" s="22">
        <f>IF(H$12=0,0,H99/H$12)</f>
        <v>0</v>
      </c>
      <c r="K99" s="15"/>
      <c r="L99" s="21">
        <f>+D99-H99</f>
        <v>-6925.4700000000885</v>
      </c>
      <c r="M99" s="15"/>
      <c r="N99" s="22">
        <f>IF(H99=0,0,L99/H99)</f>
        <v>4.9333919743826442E-2</v>
      </c>
      <c r="O99" s="26"/>
      <c r="P99" s="21">
        <f>+P17-P19+P96</f>
        <v>-864921.12999999989</v>
      </c>
      <c r="Q99" s="13"/>
      <c r="R99" s="22">
        <f>IF(P$12=0,0,P99/P$12)</f>
        <v>0</v>
      </c>
      <c r="S99" s="13"/>
      <c r="T99" s="21">
        <f>+T17-T19+T96</f>
        <v>-749743.74000000022</v>
      </c>
      <c r="U99" s="13"/>
      <c r="V99" s="22">
        <f>IF(T$12=0,0,T99/T$12)</f>
        <v>0</v>
      </c>
      <c r="W99" s="15"/>
      <c r="X99" s="21">
        <f>+P99-T99</f>
        <v>-115177.38999999966</v>
      </c>
      <c r="Y99" s="15"/>
      <c r="Z99" s="22">
        <f>IF(T99=0,0,X99/T99)</f>
        <v>0.15362234301549438</v>
      </c>
    </row>
    <row r="100" spans="1:26" x14ac:dyDescent="0.3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51"/>
      <c r="B101" s="10" t="s">
        <v>127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3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5" t="s">
        <v>125</v>
      </c>
      <c r="C103" s="25"/>
      <c r="D103" s="36">
        <f>+D99-D101</f>
        <v>-147304.95000000007</v>
      </c>
      <c r="E103" s="13"/>
      <c r="F103" s="31">
        <f>IF(D$12=0,0,D103/D$12)</f>
        <v>0</v>
      </c>
      <c r="G103" s="13"/>
      <c r="H103" s="36">
        <f>+H99-H101</f>
        <v>-140379.47999999998</v>
      </c>
      <c r="I103" s="13"/>
      <c r="J103" s="31">
        <f>IF(H$12=0,0,H103/H$12)</f>
        <v>0</v>
      </c>
      <c r="K103" s="15"/>
      <c r="L103" s="36">
        <f>D103-H103</f>
        <v>-6925.4700000000885</v>
      </c>
      <c r="M103" s="15"/>
      <c r="N103" s="31">
        <f>IF(H103=0,0,L103/H103)</f>
        <v>4.9333919743826442E-2</v>
      </c>
      <c r="O103" s="26"/>
      <c r="P103" s="36">
        <f>+P99-P101</f>
        <v>-864921.12999999989</v>
      </c>
      <c r="Q103" s="13"/>
      <c r="R103" s="31">
        <f>IF(P$12=0,0,P103/P$12)</f>
        <v>0</v>
      </c>
      <c r="S103" s="13"/>
      <c r="T103" s="36">
        <f>+T99-T101</f>
        <v>-749743.74000000022</v>
      </c>
      <c r="U103" s="13"/>
      <c r="V103" s="31">
        <f>IF(T$12=0,0,T103/T$12)</f>
        <v>0</v>
      </c>
      <c r="W103" s="15"/>
      <c r="X103" s="36">
        <f>P103-T103</f>
        <v>-115177.38999999966</v>
      </c>
      <c r="Y103" s="15"/>
      <c r="Z103" s="31">
        <f>IF(T103=0,0,X103/T103)</f>
        <v>0.15362234301549438</v>
      </c>
    </row>
    <row r="104" spans="1:26" ht="15" thickTop="1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3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5" t="s">
        <v>293</v>
      </c>
      <c r="C106" s="25"/>
      <c r="D106" s="35">
        <f>SUM(D103:D105)</f>
        <v>-147304.95000000007</v>
      </c>
      <c r="E106" s="13"/>
      <c r="F106" s="32">
        <f>IF(D$12=0,0,D106/D$12)</f>
        <v>0</v>
      </c>
      <c r="G106" s="13"/>
      <c r="H106" s="35">
        <f>SUM(H103:H105)</f>
        <v>-140379.47999999998</v>
      </c>
      <c r="I106" s="13"/>
      <c r="J106" s="32">
        <f>IF(H$12=0,0,H106/H$12)</f>
        <v>0</v>
      </c>
      <c r="K106" s="15"/>
      <c r="L106" s="35">
        <f>+D106-H106</f>
        <v>-6925.4700000000885</v>
      </c>
      <c r="M106" s="15"/>
      <c r="N106" s="32">
        <f>IF(H106=0,0,L106/H106)</f>
        <v>4.9333919743826442E-2</v>
      </c>
      <c r="O106" s="26"/>
      <c r="P106" s="35">
        <f>SUM(P103:P105)</f>
        <v>-864921.12999999989</v>
      </c>
      <c r="Q106" s="13"/>
      <c r="R106" s="32">
        <f>IF(P$12=0,0,P106/P$12)</f>
        <v>0</v>
      </c>
      <c r="S106" s="13"/>
      <c r="T106" s="35">
        <f>SUM(T103:T105)</f>
        <v>-749743.74000000022</v>
      </c>
      <c r="U106" s="13"/>
      <c r="V106" s="32">
        <f>IF(T$12=0,0,T106/T$12)</f>
        <v>0</v>
      </c>
      <c r="W106" s="15"/>
      <c r="X106" s="35">
        <f>+P106-T106</f>
        <v>-115177.38999999966</v>
      </c>
      <c r="Y106" s="15"/>
      <c r="Z106" s="32">
        <f>IF(T106=0,0,X106/T106)</f>
        <v>0.15362234301549438</v>
      </c>
    </row>
    <row r="107" spans="1:26" ht="15" thickTop="1" x14ac:dyDescent="0.3">
      <c r="A107" s="9"/>
      <c r="C107" s="9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A108" s="9"/>
      <c r="B108" s="54">
        <v>44604.028475694446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3">
      <c r="A109" s="9"/>
      <c r="B109" s="53" t="s">
        <v>56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3">
      <c r="A110" s="9"/>
      <c r="B110" s="5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"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550348.06999999995</v>
      </c>
      <c r="E12" s="4"/>
      <c r="F12" s="12"/>
      <c r="G12" s="4"/>
      <c r="H12" s="4">
        <f>SUM(OSRRefH13x_0)</f>
        <v>988954.85000000009</v>
      </c>
      <c r="I12" s="4"/>
      <c r="J12" s="12"/>
      <c r="K12" s="4"/>
      <c r="L12" s="4">
        <f t="shared" ref="L12:L36" si="0">+D12-H12</f>
        <v>-438606.78000000014</v>
      </c>
      <c r="M12" s="4"/>
      <c r="N12" s="12">
        <f t="shared" ref="N12:N36" si="1">IF(H12=0,0,L12/H12)</f>
        <v>-0.4435053632630449</v>
      </c>
      <c r="O12" s="10"/>
      <c r="P12" s="4">
        <f>SUM(OSRRefP13x_0)</f>
        <v>1949957.94</v>
      </c>
      <c r="Q12" s="4"/>
      <c r="R12" s="12"/>
      <c r="S12" s="4"/>
      <c r="T12" s="4">
        <f>SUM(OSRRefT13x_0)</f>
        <v>2560907.3199999994</v>
      </c>
      <c r="U12" s="4"/>
      <c r="V12" s="12"/>
      <c r="W12" s="4"/>
      <c r="X12" s="4">
        <f t="shared" ref="X12:X36" si="2">+P12-T12</f>
        <v>-610949.37999999942</v>
      </c>
      <c r="Y12" s="4"/>
      <c r="Z12" s="12">
        <f t="shared" ref="Z12:Z36" si="3">IF(T12=0,0,X12/T12)</f>
        <v>-0.2385675480048218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--459128.6</f>
        <v>459128.6</v>
      </c>
      <c r="E13" s="2"/>
      <c r="F13" s="19"/>
      <c r="G13" s="2"/>
      <c r="H13" s="2">
        <f>-835.3</f>
        <v>-835.3</v>
      </c>
      <c r="I13" s="2"/>
      <c r="J13" s="19"/>
      <c r="K13" s="2"/>
      <c r="L13" s="2">
        <f t="shared" si="0"/>
        <v>459963.89999999997</v>
      </c>
      <c r="M13" s="2"/>
      <c r="N13" s="19">
        <f t="shared" si="1"/>
        <v>-550.65712917514668</v>
      </c>
      <c r="O13" s="11"/>
      <c r="P13" s="2">
        <f>--1463962.66</f>
        <v>1463962.66</v>
      </c>
      <c r="Q13" s="2"/>
      <c r="R13" s="19"/>
      <c r="S13" s="2"/>
      <c r="T13" s="2">
        <f>-7761.03</f>
        <v>-7761.03</v>
      </c>
      <c r="U13" s="2"/>
      <c r="V13" s="19"/>
      <c r="W13" s="2"/>
      <c r="X13" s="2">
        <f t="shared" si="2"/>
        <v>1471723.69</v>
      </c>
      <c r="Y13" s="2"/>
      <c r="Z13" s="19">
        <f t="shared" si="3"/>
        <v>-189.62994473671665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--459430.32</f>
        <v>459430.32</v>
      </c>
      <c r="I14" s="2"/>
      <c r="J14" s="19"/>
      <c r="K14" s="2"/>
      <c r="L14" s="2">
        <f t="shared" si="0"/>
        <v>-459430.32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--1190096.34</f>
        <v>1190096.3400000001</v>
      </c>
      <c r="U14" s="2"/>
      <c r="V14" s="19"/>
      <c r="W14" s="2"/>
      <c r="X14" s="2">
        <f t="shared" si="2"/>
        <v>-1190096.3400000001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--238947.44</f>
        <v>238947.44</v>
      </c>
      <c r="I15" s="2"/>
      <c r="J15" s="19"/>
      <c r="K15" s="2"/>
      <c r="L15" s="2">
        <f t="shared" si="0"/>
        <v>-238947.44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--562401.5</f>
        <v>562401.5</v>
      </c>
      <c r="U15" s="2"/>
      <c r="V15" s="19"/>
      <c r="W15" s="2"/>
      <c r="X15" s="2">
        <f t="shared" si="2"/>
        <v>-562401.5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--110754.22</f>
        <v>110754.22</v>
      </c>
      <c r="E21" s="2"/>
      <c r="F21" s="19"/>
      <c r="G21" s="2"/>
      <c r="H21" s="2">
        <f>--112968.19</f>
        <v>112968.19</v>
      </c>
      <c r="I21" s="2"/>
      <c r="J21" s="19"/>
      <c r="K21" s="2"/>
      <c r="L21" s="2">
        <f t="shared" si="0"/>
        <v>-2213.9700000000012</v>
      </c>
      <c r="M21" s="2"/>
      <c r="N21" s="19">
        <f t="shared" si="1"/>
        <v>-1.9598171839346999E-2</v>
      </c>
      <c r="O21" s="11"/>
      <c r="P21" s="2">
        <f>--562061.72</f>
        <v>562061.72</v>
      </c>
      <c r="Q21" s="2"/>
      <c r="R21" s="19"/>
      <c r="S21" s="2"/>
      <c r="T21" s="2">
        <f>--278555.86</f>
        <v>278555.86</v>
      </c>
      <c r="U21" s="2"/>
      <c r="V21" s="19"/>
      <c r="W21" s="2"/>
      <c r="X21" s="2">
        <f t="shared" si="2"/>
        <v>283505.86</v>
      </c>
      <c r="Y21" s="2"/>
      <c r="Z21" s="19">
        <f t="shared" si="3"/>
        <v>1.0177702238969233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6">0</f>
        <v>0</v>
      </c>
      <c r="E22" s="2"/>
      <c r="F22" s="19"/>
      <c r="G22" s="2"/>
      <c r="H22" s="2">
        <f>--22084.7</f>
        <v>22084.7</v>
      </c>
      <c r="I22" s="2"/>
      <c r="J22" s="19"/>
      <c r="K22" s="2"/>
      <c r="L22" s="2">
        <f t="shared" si="0"/>
        <v>-22084.7</v>
      </c>
      <c r="M22" s="2"/>
      <c r="N22" s="19">
        <f t="shared" si="1"/>
        <v>-1</v>
      </c>
      <c r="O22" s="11"/>
      <c r="P22" s="2">
        <f t="shared" ref="P22:P27" si="7">0</f>
        <v>0</v>
      </c>
      <c r="Q22" s="2"/>
      <c r="R22" s="19"/>
      <c r="S22" s="2"/>
      <c r="T22" s="2">
        <f>--104225.63</f>
        <v>104225.63</v>
      </c>
      <c r="U22" s="2"/>
      <c r="V22" s="19"/>
      <c r="W22" s="2"/>
      <c r="X22" s="2">
        <f t="shared" si="2"/>
        <v>-104225.63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--9330.01</f>
        <v>9330.01</v>
      </c>
      <c r="I23" s="2"/>
      <c r="J23" s="19"/>
      <c r="K23" s="2"/>
      <c r="L23" s="2">
        <f t="shared" si="0"/>
        <v>-9330.01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--42961.32</f>
        <v>42961.32</v>
      </c>
      <c r="U23" s="2"/>
      <c r="V23" s="19"/>
      <c r="W23" s="2"/>
      <c r="X23" s="2">
        <f t="shared" si="2"/>
        <v>-42961.32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6"/>
        <v>0</v>
      </c>
      <c r="E24" s="2"/>
      <c r="F24" s="19"/>
      <c r="G24" s="2"/>
      <c r="H24" s="2">
        <f>--853.98</f>
        <v>853.98</v>
      </c>
      <c r="I24" s="2"/>
      <c r="J24" s="19"/>
      <c r="K24" s="2"/>
      <c r="L24" s="2">
        <f t="shared" si="0"/>
        <v>-853.98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--1138.95</f>
        <v>1138.95</v>
      </c>
      <c r="U24" s="2"/>
      <c r="V24" s="19"/>
      <c r="W24" s="2"/>
      <c r="X24" s="2">
        <f t="shared" si="2"/>
        <v>-1138.95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6"/>
        <v>0</v>
      </c>
      <c r="E25" s="2"/>
      <c r="F25" s="19"/>
      <c r="G25" s="2"/>
      <c r="H25" s="2">
        <f>--161977.12</f>
        <v>161977.12</v>
      </c>
      <c r="I25" s="2"/>
      <c r="J25" s="19"/>
      <c r="K25" s="2"/>
      <c r="L25" s="2">
        <f t="shared" si="0"/>
        <v>-161977.12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--458168.13</f>
        <v>458168.13</v>
      </c>
      <c r="U25" s="2"/>
      <c r="V25" s="19"/>
      <c r="W25" s="2"/>
      <c r="X25" s="2">
        <f t="shared" si="2"/>
        <v>-458168.13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6"/>
        <v>0</v>
      </c>
      <c r="E26" s="2"/>
      <c r="F26" s="19"/>
      <c r="G26" s="2"/>
      <c r="H26" s="2">
        <f>--4661.75</f>
        <v>4661.75</v>
      </c>
      <c r="I26" s="2"/>
      <c r="J26" s="19"/>
      <c r="K26" s="2"/>
      <c r="L26" s="2">
        <f t="shared" si="0"/>
        <v>-4661.75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--6989.25</f>
        <v>6989.25</v>
      </c>
      <c r="U26" s="2"/>
      <c r="V26" s="19"/>
      <c r="W26" s="2"/>
      <c r="X26" s="2">
        <f t="shared" si="2"/>
        <v>-6989.25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6"/>
        <v>0</v>
      </c>
      <c r="E27" s="2"/>
      <c r="F27" s="19"/>
      <c r="G27" s="2"/>
      <c r="H27" s="2">
        <f>--538.3</f>
        <v>538.29999999999995</v>
      </c>
      <c r="I27" s="2"/>
      <c r="J27" s="19"/>
      <c r="K27" s="2"/>
      <c r="L27" s="2">
        <f t="shared" si="0"/>
        <v>-538.29999999999995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--771.73</f>
        <v>771.73</v>
      </c>
      <c r="U27" s="2"/>
      <c r="V27" s="19"/>
      <c r="W27" s="2"/>
      <c r="X27" s="2">
        <f t="shared" si="2"/>
        <v>-771.73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-17245.44</f>
        <v>-17245.439999999999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-17245.439999999999</v>
      </c>
      <c r="M28" s="2"/>
      <c r="N28" s="19">
        <f t="shared" si="1"/>
        <v>0</v>
      </c>
      <c r="O28" s="11"/>
      <c r="P28" s="2">
        <f>-46638.46</f>
        <v>-46638.46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-46638.46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8">0</f>
        <v>0</v>
      </c>
      <c r="E29" s="2"/>
      <c r="F29" s="19"/>
      <c r="G29" s="2"/>
      <c r="H29" s="2">
        <f>-12741.9</f>
        <v>-12741.9</v>
      </c>
      <c r="I29" s="2"/>
      <c r="J29" s="19"/>
      <c r="K29" s="2"/>
      <c r="L29" s="2">
        <f t="shared" si="0"/>
        <v>12741.9</v>
      </c>
      <c r="M29" s="2"/>
      <c r="N29" s="19">
        <f t="shared" si="1"/>
        <v>-1</v>
      </c>
      <c r="O29" s="11"/>
      <c r="P29" s="2">
        <f t="shared" ref="P29:P31" si="9">0</f>
        <v>0</v>
      </c>
      <c r="Q29" s="2"/>
      <c r="R29" s="19"/>
      <c r="S29" s="2"/>
      <c r="T29" s="2">
        <f>-48517.74</f>
        <v>-48517.74</v>
      </c>
      <c r="U29" s="2"/>
      <c r="V29" s="19"/>
      <c r="W29" s="2"/>
      <c r="X29" s="2">
        <f t="shared" si="2"/>
        <v>48517.74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8"/>
        <v>0</v>
      </c>
      <c r="E30" s="2"/>
      <c r="F30" s="19"/>
      <c r="G30" s="2"/>
      <c r="H30" s="2">
        <f>-4670.3</f>
        <v>-4670.3</v>
      </c>
      <c r="I30" s="2"/>
      <c r="J30" s="19"/>
      <c r="K30" s="2"/>
      <c r="L30" s="2">
        <f t="shared" si="0"/>
        <v>4670.3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-18536.3</f>
        <v>-18536.3</v>
      </c>
      <c r="U30" s="2"/>
      <c r="V30" s="19"/>
      <c r="W30" s="2"/>
      <c r="X30" s="2">
        <f t="shared" si="2"/>
        <v>18536.3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8"/>
        <v>0</v>
      </c>
      <c r="E31" s="2"/>
      <c r="F31" s="19"/>
      <c r="G31" s="2"/>
      <c r="H31" s="2">
        <f t="shared" ref="H31:H32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9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-498.15</f>
        <v>-498.15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-498.15</v>
      </c>
      <c r="M32" s="2"/>
      <c r="N32" s="19">
        <f t="shared" si="1"/>
        <v>0</v>
      </c>
      <c r="O32" s="11"/>
      <c r="P32" s="2">
        <f>-26401.29</f>
        <v>-26401.29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-26401.29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1">0</f>
        <v>0</v>
      </c>
      <c r="E33" s="2"/>
      <c r="F33" s="19"/>
      <c r="G33" s="2"/>
      <c r="H33" s="2">
        <f>-256.69</f>
        <v>-256.69</v>
      </c>
      <c r="I33" s="2"/>
      <c r="J33" s="19"/>
      <c r="K33" s="2"/>
      <c r="L33" s="2">
        <f t="shared" si="0"/>
        <v>256.69</v>
      </c>
      <c r="M33" s="2"/>
      <c r="N33" s="19">
        <f t="shared" si="1"/>
        <v>-1</v>
      </c>
      <c r="O33" s="11"/>
      <c r="P33" s="2">
        <f t="shared" ref="P33:P35" si="12">0</f>
        <v>0</v>
      </c>
      <c r="Q33" s="2"/>
      <c r="R33" s="19"/>
      <c r="S33" s="2"/>
      <c r="T33" s="2">
        <f>-3005.79</f>
        <v>-3005.79</v>
      </c>
      <c r="U33" s="2"/>
      <c r="V33" s="19"/>
      <c r="W33" s="2"/>
      <c r="X33" s="2">
        <f t="shared" si="2"/>
        <v>3005.79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1"/>
        <v>0</v>
      </c>
      <c r="E34" s="2"/>
      <c r="F34" s="19"/>
      <c r="G34" s="2"/>
      <c r="H34" s="2">
        <f>-532.96</f>
        <v>-532.96</v>
      </c>
      <c r="I34" s="2"/>
      <c r="J34" s="19"/>
      <c r="K34" s="2"/>
      <c r="L34" s="2">
        <f t="shared" si="0"/>
        <v>532.96</v>
      </c>
      <c r="M34" s="2"/>
      <c r="N34" s="19">
        <f t="shared" si="1"/>
        <v>-1</v>
      </c>
      <c r="O34" s="11"/>
      <c r="P34" s="2">
        <f t="shared" si="12"/>
        <v>0</v>
      </c>
      <c r="Q34" s="2"/>
      <c r="R34" s="19"/>
      <c r="S34" s="2"/>
      <c r="T34" s="2">
        <f>-2003.16</f>
        <v>-2003.16</v>
      </c>
      <c r="U34" s="2"/>
      <c r="V34" s="19"/>
      <c r="W34" s="2"/>
      <c r="X34" s="2">
        <f t="shared" si="2"/>
        <v>2003.16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1"/>
        <v>0</v>
      </c>
      <c r="E35" s="2"/>
      <c r="F35" s="19"/>
      <c r="G35" s="2"/>
      <c r="H35" s="2">
        <f>-10673</f>
        <v>-10673</v>
      </c>
      <c r="I35" s="2"/>
      <c r="J35" s="19"/>
      <c r="K35" s="2"/>
      <c r="L35" s="2">
        <f t="shared" si="0"/>
        <v>10673</v>
      </c>
      <c r="M35" s="2"/>
      <c r="N35" s="19">
        <f t="shared" si="1"/>
        <v>-1</v>
      </c>
      <c r="O35" s="11"/>
      <c r="P35" s="2">
        <f t="shared" si="12"/>
        <v>0</v>
      </c>
      <c r="Q35" s="2"/>
      <c r="R35" s="19"/>
      <c r="S35" s="2"/>
      <c r="T35" s="2">
        <f>-25095.77</f>
        <v>-25095.77</v>
      </c>
      <c r="U35" s="2"/>
      <c r="V35" s="19"/>
      <c r="W35" s="2"/>
      <c r="X35" s="2">
        <f t="shared" si="2"/>
        <v>25095.77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-1791.16</f>
        <v>-1791.16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-1791.16</v>
      </c>
      <c r="M36" s="2"/>
      <c r="N36" s="19">
        <f t="shared" si="1"/>
        <v>0</v>
      </c>
      <c r="O36" s="11"/>
      <c r="P36" s="2">
        <f>-3026.69</f>
        <v>-3026.69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-3026.69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6" t="s">
        <v>256</v>
      </c>
      <c r="C38" s="10"/>
      <c r="D38" s="4">
        <f>SUM(OSRRefD16x_0)</f>
        <v>365470.27</v>
      </c>
      <c r="E38" s="4"/>
      <c r="F38" s="12">
        <f t="shared" ref="F38:F55" si="13">IF(D$12=0,0,D38/D$12)</f>
        <v>0.66407113956082386</v>
      </c>
      <c r="G38" s="4"/>
      <c r="H38" s="4">
        <f>SUM(OSRRefH16x_0)</f>
        <v>686871.82000000007</v>
      </c>
      <c r="I38" s="4"/>
      <c r="J38" s="12">
        <f t="shared" ref="J38:J55" si="14">IF(H$12=0,0,H38/H$12)</f>
        <v>0.69454315330977956</v>
      </c>
      <c r="K38" s="4"/>
      <c r="L38" s="4">
        <f t="shared" ref="L38:L55" si="15">+D38-H38</f>
        <v>-321401.55000000005</v>
      </c>
      <c r="M38" s="4"/>
      <c r="N38" s="12">
        <f t="shared" ref="N38:N55" si="16">IF(H38=0,0,L38/H38)</f>
        <v>-0.46792071044638289</v>
      </c>
      <c r="O38" s="10"/>
      <c r="P38" s="4">
        <f>SUM(OSRRefP16x_0)</f>
        <v>1506341.9499999997</v>
      </c>
      <c r="Q38" s="4"/>
      <c r="R38" s="12">
        <f t="shared" ref="R38:R55" si="17">IF(P$12=0,0,P38/P$12)</f>
        <v>0.77249971350664093</v>
      </c>
      <c r="S38" s="4"/>
      <c r="T38" s="4">
        <f>SUM(OSRRefT16x_0)</f>
        <v>1809575.9699999997</v>
      </c>
      <c r="U38" s="4"/>
      <c r="V38" s="12">
        <f t="shared" ref="V38:V55" si="18">IF(T$12=0,0,T38/T$12)</f>
        <v>0.70661517340658786</v>
      </c>
      <c r="W38" s="4"/>
      <c r="X38" s="4">
        <f t="shared" ref="X38:X55" si="19">+P38-T38</f>
        <v>-303234.02</v>
      </c>
      <c r="Y38" s="4"/>
      <c r="Z38" s="12">
        <f t="shared" ref="Z38:Z55" si="20">IF(T38=0,0,X38/T38)</f>
        <v>-0.16757186491595602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297701.7</v>
      </c>
      <c r="E39" s="2"/>
      <c r="F39" s="19">
        <f t="shared" si="13"/>
        <v>0.54093348596643587</v>
      </c>
      <c r="G39" s="2"/>
      <c r="H39" s="2">
        <v>0</v>
      </c>
      <c r="I39" s="2"/>
      <c r="J39" s="19">
        <f t="shared" si="14"/>
        <v>0</v>
      </c>
      <c r="K39" s="2"/>
      <c r="L39" s="2">
        <f t="shared" si="15"/>
        <v>297701.7</v>
      </c>
      <c r="M39" s="2"/>
      <c r="N39" s="19">
        <f t="shared" si="16"/>
        <v>0</v>
      </c>
      <c r="O39" s="11"/>
      <c r="P39" s="2">
        <v>1702142.74</v>
      </c>
      <c r="Q39" s="2"/>
      <c r="R39" s="19">
        <f t="shared" si="17"/>
        <v>0.87291254087254833</v>
      </c>
      <c r="S39" s="2"/>
      <c r="T39" s="2">
        <v>0</v>
      </c>
      <c r="U39" s="2"/>
      <c r="V39" s="19">
        <f t="shared" si="18"/>
        <v>0</v>
      </c>
      <c r="W39" s="2"/>
      <c r="X39" s="2">
        <f t="shared" si="19"/>
        <v>1702142.74</v>
      </c>
      <c r="Y39" s="2"/>
      <c r="Z39" s="19">
        <f t="shared" si="20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3"/>
        <v>0</v>
      </c>
      <c r="G40" s="2"/>
      <c r="H40" s="2">
        <v>381096.17</v>
      </c>
      <c r="I40" s="2"/>
      <c r="J40" s="19">
        <f t="shared" si="14"/>
        <v>0.38535244556412251</v>
      </c>
      <c r="K40" s="2"/>
      <c r="L40" s="2">
        <f t="shared" si="15"/>
        <v>-381096.17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1659009.21</v>
      </c>
      <c r="U40" s="2"/>
      <c r="V40" s="19">
        <f t="shared" si="18"/>
        <v>0.6478208707685682</v>
      </c>
      <c r="W40" s="2"/>
      <c r="X40" s="2">
        <f t="shared" si="19"/>
        <v>-1659009.21</v>
      </c>
      <c r="Y40" s="2"/>
      <c r="Z40" s="19">
        <f t="shared" si="20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3"/>
        <v>0</v>
      </c>
      <c r="G41" s="2"/>
      <c r="H41" s="2">
        <v>95863.360000000001</v>
      </c>
      <c r="I41" s="2"/>
      <c r="J41" s="19">
        <f t="shared" si="14"/>
        <v>9.6934010688152231E-2</v>
      </c>
      <c r="K41" s="2"/>
      <c r="L41" s="2">
        <f t="shared" si="15"/>
        <v>-95863.360000000001</v>
      </c>
      <c r="M41" s="2"/>
      <c r="N41" s="19">
        <f t="shared" si="16"/>
        <v>-1</v>
      </c>
      <c r="O41" s="11"/>
      <c r="P41" s="2">
        <v>0</v>
      </c>
      <c r="Q41" s="2"/>
      <c r="R41" s="19">
        <f t="shared" si="17"/>
        <v>0</v>
      </c>
      <c r="S41" s="2"/>
      <c r="T41" s="2">
        <v>260336.28</v>
      </c>
      <c r="U41" s="2"/>
      <c r="V41" s="19">
        <f t="shared" si="18"/>
        <v>0.10165782961641895</v>
      </c>
      <c r="W41" s="2"/>
      <c r="X41" s="2">
        <f t="shared" si="19"/>
        <v>-260336.28</v>
      </c>
      <c r="Y41" s="2"/>
      <c r="Z41" s="19">
        <f t="shared" si="20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3"/>
        <v>0</v>
      </c>
      <c r="G42" s="2"/>
      <c r="H42" s="2"/>
      <c r="I42" s="2"/>
      <c r="J42" s="19">
        <f t="shared" si="14"/>
        <v>0</v>
      </c>
      <c r="K42" s="2"/>
      <c r="L42" s="2">
        <f t="shared" si="15"/>
        <v>0</v>
      </c>
      <c r="M42" s="2"/>
      <c r="N42" s="19">
        <f t="shared" si="16"/>
        <v>0</v>
      </c>
      <c r="O42" s="11"/>
      <c r="P42" s="2"/>
      <c r="Q42" s="2"/>
      <c r="R42" s="19">
        <f t="shared" si="17"/>
        <v>0</v>
      </c>
      <c r="S42" s="2"/>
      <c r="T42" s="2">
        <v>32.520000000000003</v>
      </c>
      <c r="U42" s="2"/>
      <c r="V42" s="19">
        <f t="shared" si="18"/>
        <v>1.2698624329755132E-5</v>
      </c>
      <c r="W42" s="2"/>
      <c r="X42" s="2">
        <f t="shared" si="19"/>
        <v>-32.520000000000003</v>
      </c>
      <c r="Y42" s="2"/>
      <c r="Z42" s="19">
        <f t="shared" si="20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3"/>
        <v>0</v>
      </c>
      <c r="G43" s="2"/>
      <c r="H43" s="2">
        <v>18888.45</v>
      </c>
      <c r="I43" s="2"/>
      <c r="J43" s="19">
        <f t="shared" si="14"/>
        <v>1.9099405801993891E-2</v>
      </c>
      <c r="K43" s="2"/>
      <c r="L43" s="2">
        <f t="shared" si="15"/>
        <v>-18888.45</v>
      </c>
      <c r="M43" s="2"/>
      <c r="N43" s="19">
        <f t="shared" si="16"/>
        <v>-1</v>
      </c>
      <c r="O43" s="11"/>
      <c r="P43" s="2">
        <v>0</v>
      </c>
      <c r="Q43" s="2"/>
      <c r="R43" s="19">
        <f t="shared" si="17"/>
        <v>0</v>
      </c>
      <c r="S43" s="2"/>
      <c r="T43" s="2">
        <v>216726.56</v>
      </c>
      <c r="U43" s="2"/>
      <c r="V43" s="19">
        <f t="shared" si="18"/>
        <v>8.4628818195576105E-2</v>
      </c>
      <c r="W43" s="2"/>
      <c r="X43" s="2">
        <f t="shared" si="19"/>
        <v>-216726.56</v>
      </c>
      <c r="Y43" s="2"/>
      <c r="Z43" s="19">
        <f t="shared" si="20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3"/>
        <v>0</v>
      </c>
      <c r="G44" s="2"/>
      <c r="H44" s="2"/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1"/>
      <c r="P44" s="2"/>
      <c r="Q44" s="2"/>
      <c r="R44" s="19">
        <f t="shared" si="17"/>
        <v>0</v>
      </c>
      <c r="S44" s="2"/>
      <c r="T44" s="2">
        <v>67.17</v>
      </c>
      <c r="U44" s="2"/>
      <c r="V44" s="19">
        <f t="shared" si="18"/>
        <v>2.6228985123913044E-5</v>
      </c>
      <c r="W44" s="2"/>
      <c r="X44" s="2">
        <f t="shared" si="19"/>
        <v>-67.17</v>
      </c>
      <c r="Y44" s="2"/>
      <c r="Z44" s="19">
        <f t="shared" si="20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3"/>
        <v>0</v>
      </c>
      <c r="G45" s="2"/>
      <c r="H45" s="2">
        <v>3531.13</v>
      </c>
      <c r="I45" s="2"/>
      <c r="J45" s="19">
        <f t="shared" si="14"/>
        <v>3.5705674531046586E-3</v>
      </c>
      <c r="K45" s="2"/>
      <c r="L45" s="2">
        <f t="shared" si="15"/>
        <v>-3531.13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5656.98</v>
      </c>
      <c r="U45" s="2"/>
      <c r="V45" s="19">
        <f t="shared" si="18"/>
        <v>2.2089749034728836E-3</v>
      </c>
      <c r="W45" s="2"/>
      <c r="X45" s="2">
        <f t="shared" si="19"/>
        <v>-5656.98</v>
      </c>
      <c r="Y45" s="2"/>
      <c r="Z45" s="19">
        <f t="shared" si="20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90.41</v>
      </c>
      <c r="U46" s="2"/>
      <c r="V46" s="19">
        <f t="shared" si="18"/>
        <v>3.5303893777772486E-5</v>
      </c>
      <c r="W46" s="2"/>
      <c r="X46" s="2">
        <f t="shared" si="19"/>
        <v>-90.41</v>
      </c>
      <c r="Y46" s="2"/>
      <c r="Z46" s="19">
        <f t="shared" si="20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3"/>
        <v>0</v>
      </c>
      <c r="G47" s="2"/>
      <c r="H47" s="2">
        <v>416</v>
      </c>
      <c r="I47" s="2"/>
      <c r="J47" s="19">
        <f t="shared" si="14"/>
        <v>4.2064609926327777E-4</v>
      </c>
      <c r="K47" s="2"/>
      <c r="L47" s="2">
        <f t="shared" si="15"/>
        <v>-416</v>
      </c>
      <c r="M47" s="2"/>
      <c r="N47" s="19">
        <f t="shared" si="16"/>
        <v>-1</v>
      </c>
      <c r="O47" s="11"/>
      <c r="P47" s="2"/>
      <c r="Q47" s="2"/>
      <c r="R47" s="19">
        <f t="shared" si="17"/>
        <v>0</v>
      </c>
      <c r="S47" s="2"/>
      <c r="T47" s="2">
        <v>522.34</v>
      </c>
      <c r="U47" s="2"/>
      <c r="V47" s="19">
        <f t="shared" si="18"/>
        <v>2.0396677221415423E-4</v>
      </c>
      <c r="W47" s="2"/>
      <c r="X47" s="2">
        <f t="shared" si="19"/>
        <v>-522.34</v>
      </c>
      <c r="Y47" s="2"/>
      <c r="Z47" s="19">
        <f t="shared" si="20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-271779.8</v>
      </c>
      <c r="E48" s="2"/>
      <c r="F48" s="19">
        <f t="shared" si="13"/>
        <v>-0.49383256672454584</v>
      </c>
      <c r="G48" s="2"/>
      <c r="H48" s="2">
        <v>-321969.3</v>
      </c>
      <c r="I48" s="2"/>
      <c r="J48" s="19">
        <f t="shared" si="14"/>
        <v>-0.32556521665271165</v>
      </c>
      <c r="K48" s="2"/>
      <c r="L48" s="2">
        <f t="shared" si="15"/>
        <v>50189.5</v>
      </c>
      <c r="M48" s="2"/>
      <c r="N48" s="19">
        <f t="shared" si="16"/>
        <v>-0.15588287454735592</v>
      </c>
      <c r="O48" s="11"/>
      <c r="P48" s="2">
        <v>-1462359.61</v>
      </c>
      <c r="Q48" s="2"/>
      <c r="R48" s="19">
        <f t="shared" si="17"/>
        <v>-0.74994418084730596</v>
      </c>
      <c r="S48" s="2"/>
      <c r="T48" s="2">
        <v>-1672643.1</v>
      </c>
      <c r="U48" s="2"/>
      <c r="V48" s="19">
        <f t="shared" si="18"/>
        <v>-0.65314472216042574</v>
      </c>
      <c r="W48" s="2"/>
      <c r="X48" s="2">
        <f t="shared" si="19"/>
        <v>210283.49</v>
      </c>
      <c r="Y48" s="2"/>
      <c r="Z48" s="19">
        <f t="shared" si="20"/>
        <v>-0.12571928225453474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328221.40000000002</v>
      </c>
      <c r="E49" s="2"/>
      <c r="F49" s="19">
        <f t="shared" si="13"/>
        <v>0.59638875448404871</v>
      </c>
      <c r="G49" s="2"/>
      <c r="H49" s="2">
        <v>499754</v>
      </c>
      <c r="I49" s="2"/>
      <c r="J49" s="19">
        <f t="shared" si="14"/>
        <v>0.50533550646927916</v>
      </c>
      <c r="K49" s="2"/>
      <c r="L49" s="2">
        <f t="shared" si="15"/>
        <v>-171532.59999999998</v>
      </c>
      <c r="M49" s="2"/>
      <c r="N49" s="19">
        <f t="shared" si="16"/>
        <v>-0.34323407116301213</v>
      </c>
      <c r="O49" s="11"/>
      <c r="P49" s="2">
        <v>1217890.17</v>
      </c>
      <c r="Q49" s="2"/>
      <c r="R49" s="19">
        <f t="shared" si="17"/>
        <v>0.62457253308755978</v>
      </c>
      <c r="S49" s="2"/>
      <c r="T49" s="2">
        <v>1279451</v>
      </c>
      <c r="U49" s="2"/>
      <c r="V49" s="19">
        <f t="shared" si="18"/>
        <v>0.49960847470263015</v>
      </c>
      <c r="W49" s="2"/>
      <c r="X49" s="2">
        <f t="shared" si="19"/>
        <v>-61560.830000000075</v>
      </c>
      <c r="Y49" s="2"/>
      <c r="Z49" s="19">
        <f t="shared" si="20"/>
        <v>-4.8115035276849266E-2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11326.97</v>
      </c>
      <c r="E50" s="2"/>
      <c r="F50" s="19">
        <f t="shared" si="13"/>
        <v>2.0581465834885185E-2</v>
      </c>
      <c r="G50" s="2"/>
      <c r="H50" s="2">
        <v>0</v>
      </c>
      <c r="I50" s="2"/>
      <c r="J50" s="19">
        <f t="shared" si="14"/>
        <v>0</v>
      </c>
      <c r="K50" s="2"/>
      <c r="L50" s="2">
        <f t="shared" si="15"/>
        <v>11326.97</v>
      </c>
      <c r="M50" s="2"/>
      <c r="N50" s="19">
        <f t="shared" si="16"/>
        <v>0</v>
      </c>
      <c r="O50" s="11"/>
      <c r="P50" s="2">
        <v>48668.65</v>
      </c>
      <c r="Q50" s="2"/>
      <c r="R50" s="19">
        <f t="shared" si="17"/>
        <v>2.4958820393838854E-2</v>
      </c>
      <c r="S50" s="2"/>
      <c r="T50" s="2">
        <v>0</v>
      </c>
      <c r="U50" s="2"/>
      <c r="V50" s="19">
        <f t="shared" si="18"/>
        <v>0</v>
      </c>
      <c r="W50" s="2"/>
      <c r="X50" s="2">
        <f t="shared" si="19"/>
        <v>48668.65</v>
      </c>
      <c r="Y50" s="2"/>
      <c r="Z50" s="19">
        <f t="shared" si="20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3"/>
        <v>0</v>
      </c>
      <c r="G51" s="2"/>
      <c r="H51" s="2">
        <v>7155.21</v>
      </c>
      <c r="I51" s="2"/>
      <c r="J51" s="19">
        <f t="shared" si="14"/>
        <v>7.2351230190134562E-3</v>
      </c>
      <c r="K51" s="2"/>
      <c r="L51" s="2">
        <f t="shared" si="15"/>
        <v>-7155.21</v>
      </c>
      <c r="M51" s="2"/>
      <c r="N51" s="19">
        <f t="shared" si="16"/>
        <v>-1</v>
      </c>
      <c r="O51" s="11"/>
      <c r="P51" s="2">
        <v>0</v>
      </c>
      <c r="Q51" s="2"/>
      <c r="R51" s="19">
        <f t="shared" si="17"/>
        <v>0</v>
      </c>
      <c r="S51" s="2"/>
      <c r="T51" s="2">
        <v>44618.79</v>
      </c>
      <c r="U51" s="2"/>
      <c r="V51" s="19">
        <f t="shared" si="18"/>
        <v>1.7423039737338098E-2</v>
      </c>
      <c r="W51" s="2"/>
      <c r="X51" s="2">
        <f t="shared" si="19"/>
        <v>-44618.79</v>
      </c>
      <c r="Y51" s="2"/>
      <c r="Z51" s="19">
        <f t="shared" si="20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3"/>
        <v>0</v>
      </c>
      <c r="G52" s="2"/>
      <c r="H52" s="2">
        <v>2129.7399999999998</v>
      </c>
      <c r="I52" s="2"/>
      <c r="J52" s="19">
        <f t="shared" si="14"/>
        <v>2.1535260178965699E-3</v>
      </c>
      <c r="K52" s="2"/>
      <c r="L52" s="2">
        <f t="shared" si="15"/>
        <v>-2129.7399999999998</v>
      </c>
      <c r="M52" s="2"/>
      <c r="N52" s="19">
        <f t="shared" si="16"/>
        <v>-1</v>
      </c>
      <c r="O52" s="11"/>
      <c r="P52" s="2">
        <v>0</v>
      </c>
      <c r="Q52" s="2"/>
      <c r="R52" s="19">
        <f t="shared" si="17"/>
        <v>0</v>
      </c>
      <c r="S52" s="2"/>
      <c r="T52" s="2">
        <v>15652.31</v>
      </c>
      <c r="U52" s="2"/>
      <c r="V52" s="19">
        <f t="shared" si="18"/>
        <v>6.1120173610968486E-3</v>
      </c>
      <c r="W52" s="2"/>
      <c r="X52" s="2">
        <f t="shared" si="19"/>
        <v>-15652.31</v>
      </c>
      <c r="Y52" s="2"/>
      <c r="Z52" s="19">
        <f t="shared" si="20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1"/>
      <c r="P53" s="2"/>
      <c r="Q53" s="2"/>
      <c r="R53" s="19">
        <f t="shared" si="17"/>
        <v>0</v>
      </c>
      <c r="S53" s="2"/>
      <c r="T53" s="2">
        <v>21.98</v>
      </c>
      <c r="U53" s="2"/>
      <c r="V53" s="19">
        <f t="shared" si="18"/>
        <v>8.5828955340718882E-6</v>
      </c>
      <c r="W53" s="2"/>
      <c r="X53" s="2">
        <f t="shared" si="19"/>
        <v>-21.98</v>
      </c>
      <c r="Y53" s="2"/>
      <c r="Z53" s="19">
        <f t="shared" si="20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3"/>
        <v>0</v>
      </c>
      <c r="G54" s="2"/>
      <c r="H54" s="2">
        <v>7.06</v>
      </c>
      <c r="I54" s="2"/>
      <c r="J54" s="19">
        <f t="shared" si="14"/>
        <v>7.1388496653815886E-6</v>
      </c>
      <c r="K54" s="2"/>
      <c r="L54" s="2">
        <f t="shared" si="15"/>
        <v>-7.06</v>
      </c>
      <c r="M54" s="2"/>
      <c r="N54" s="19">
        <f t="shared" si="16"/>
        <v>-1</v>
      </c>
      <c r="O54" s="11"/>
      <c r="P54" s="2"/>
      <c r="Q54" s="2"/>
      <c r="R54" s="19">
        <f t="shared" si="17"/>
        <v>0</v>
      </c>
      <c r="S54" s="2"/>
      <c r="T54" s="2">
        <v>33.520000000000003</v>
      </c>
      <c r="U54" s="2"/>
      <c r="V54" s="19">
        <f t="shared" si="18"/>
        <v>1.3089110932761132E-5</v>
      </c>
      <c r="W54" s="2"/>
      <c r="X54" s="2">
        <f t="shared" si="19"/>
        <v>-33.520000000000003</v>
      </c>
      <c r="Y54" s="2"/>
      <c r="Z54" s="19">
        <f t="shared" si="20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3"/>
        <v>0</v>
      </c>
      <c r="G55" s="2"/>
      <c r="H55" s="2"/>
      <c r="I55" s="2"/>
      <c r="J55" s="19">
        <f t="shared" si="14"/>
        <v>0</v>
      </c>
      <c r="K55" s="2"/>
      <c r="L55" s="2">
        <f t="shared" si="15"/>
        <v>0</v>
      </c>
      <c r="M55" s="2"/>
      <c r="N55" s="19">
        <f t="shared" si="16"/>
        <v>0</v>
      </c>
      <c r="O55" s="11"/>
      <c r="P55" s="2">
        <v>0</v>
      </c>
      <c r="Q55" s="2"/>
      <c r="R55" s="19">
        <f t="shared" si="17"/>
        <v>0</v>
      </c>
      <c r="S55" s="2"/>
      <c r="T55" s="2"/>
      <c r="U55" s="2"/>
      <c r="V55" s="19">
        <f t="shared" si="18"/>
        <v>0</v>
      </c>
      <c r="W55" s="2"/>
      <c r="X55" s="2">
        <f t="shared" si="19"/>
        <v>0</v>
      </c>
      <c r="Y55" s="2"/>
      <c r="Z55" s="19">
        <f t="shared" si="20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5" t="s">
        <v>107</v>
      </c>
      <c r="C57" s="25"/>
      <c r="D57" s="21">
        <f>D12-D38</f>
        <v>184877.79999999993</v>
      </c>
      <c r="E57" s="13"/>
      <c r="F57" s="22">
        <f>IF(D$12=0,0,D57/D$12)</f>
        <v>0.33592886043917614</v>
      </c>
      <c r="G57" s="13"/>
      <c r="H57" s="21">
        <f>H12-H38</f>
        <v>302083.03000000003</v>
      </c>
      <c r="I57" s="13"/>
      <c r="J57" s="22">
        <f>IF(H$12=0,0,H57/H$12)</f>
        <v>0.3054568466902205</v>
      </c>
      <c r="K57" s="15"/>
      <c r="L57" s="21">
        <f>+D57-H57</f>
        <v>-117205.2300000001</v>
      </c>
      <c r="M57" s="15"/>
      <c r="N57" s="22">
        <f>IF(H57=0,0,L57/H57)</f>
        <v>-0.38799011649214482</v>
      </c>
      <c r="O57" s="26"/>
      <c r="P57" s="21">
        <f>P12-P38</f>
        <v>443615.99000000022</v>
      </c>
      <c r="Q57" s="13"/>
      <c r="R57" s="22">
        <f>IF(P$12=0,0,P57/P$12)</f>
        <v>0.22750028649335904</v>
      </c>
      <c r="S57" s="13"/>
      <c r="T57" s="21">
        <f>T12-T38</f>
        <v>751331.34999999963</v>
      </c>
      <c r="U57" s="13"/>
      <c r="V57" s="22">
        <f>IF(T$12=0,0,T57/T$12)</f>
        <v>0.29338482659341214</v>
      </c>
      <c r="W57" s="15"/>
      <c r="X57" s="21">
        <f>+P57-T57</f>
        <v>-307715.3599999994</v>
      </c>
      <c r="Y57" s="15"/>
      <c r="Z57" s="22">
        <f>IF(T57=0,0,X57/T57)</f>
        <v>-0.40956012284060761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6" t="s">
        <v>294</v>
      </c>
      <c r="C59" s="10"/>
      <c r="D59" s="20">
        <f>SUM(OSRRefD22x_0)</f>
        <v>52742.58</v>
      </c>
      <c r="E59" s="20"/>
      <c r="F59" s="30">
        <f t="shared" ref="F59:F69" si="21">IF(D$12=0,0,D59/D$12)</f>
        <v>9.5834950416015821E-2</v>
      </c>
      <c r="G59" s="20"/>
      <c r="H59" s="20">
        <f>SUM(OSRRefH22x_0)</f>
        <v>58886.079999999994</v>
      </c>
      <c r="I59" s="20"/>
      <c r="J59" s="30">
        <f t="shared" ref="J59:J69" si="22">IF(H$12=0,0,H59/H$12)</f>
        <v>5.9543749646407004E-2</v>
      </c>
      <c r="K59" s="4"/>
      <c r="L59" s="20">
        <f t="shared" ref="L59:L69" si="23">+D59-H59</f>
        <v>-6143.4999999999927</v>
      </c>
      <c r="M59" s="4"/>
      <c r="N59" s="30">
        <f t="shared" ref="N59:N69" si="24">IF(H59=0,0,L59/H59)</f>
        <v>-0.10432856118118226</v>
      </c>
      <c r="O59" s="10"/>
      <c r="P59" s="20">
        <f>SUM(OSRRefP22x_0)</f>
        <v>332260.56000000006</v>
      </c>
      <c r="Q59" s="20"/>
      <c r="R59" s="30">
        <f t="shared" ref="R59:R69" si="25">IF(P$12=0,0,P59/P$12)</f>
        <v>0.1703937060303978</v>
      </c>
      <c r="S59" s="20"/>
      <c r="T59" s="20">
        <f>SUM(OSRRefT22x_0)</f>
        <v>322990.58999999991</v>
      </c>
      <c r="U59" s="20"/>
      <c r="V59" s="30">
        <f t="shared" ref="V59:V69" si="26">IF(T$12=0,0,T59/T$12)</f>
        <v>0.12612349829200378</v>
      </c>
      <c r="W59" s="4"/>
      <c r="X59" s="20">
        <f t="shared" ref="X59:X69" si="27">+P59-T59</f>
        <v>9269.9700000001467</v>
      </c>
      <c r="Y59" s="4"/>
      <c r="Z59" s="30">
        <f t="shared" ref="Z59:Z69" si="28">IF(T59=0,0,X59/T59)</f>
        <v>2.8700433656597083E-2</v>
      </c>
    </row>
    <row r="60" spans="1:26" s="29" customFormat="1" outlineLevel="1" collapsed="1" x14ac:dyDescent="0.3">
      <c r="A60" s="28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16187.02</v>
      </c>
      <c r="E60" s="1"/>
      <c r="F60" s="5">
        <f t="shared" si="21"/>
        <v>2.9412331726719785E-2</v>
      </c>
      <c r="G60" s="1"/>
      <c r="H60" s="1">
        <f>SUM(OSRRefH22_0x_0)</f>
        <v>13034.259999999998</v>
      </c>
      <c r="I60" s="1"/>
      <c r="J60" s="5">
        <f t="shared" si="22"/>
        <v>1.3179833235056178E-2</v>
      </c>
      <c r="K60" s="1"/>
      <c r="L60" s="1">
        <f t="shared" si="23"/>
        <v>3152.760000000002</v>
      </c>
      <c r="M60" s="1"/>
      <c r="N60" s="5">
        <f t="shared" si="24"/>
        <v>0.24188254645833385</v>
      </c>
      <c r="O60" s="14"/>
      <c r="P60" s="1">
        <f>SUM(OSRRefP22_0x_0)</f>
        <v>93152.080000000016</v>
      </c>
      <c r="Q60" s="1"/>
      <c r="R60" s="5">
        <f t="shared" si="25"/>
        <v>4.7771327826691495E-2</v>
      </c>
      <c r="S60" s="1"/>
      <c r="T60" s="1">
        <f>SUM(OSRRefT22_0x_0)</f>
        <v>81797.210000000006</v>
      </c>
      <c r="U60" s="1"/>
      <c r="V60" s="5">
        <f t="shared" si="26"/>
        <v>3.1940714668268443E-2</v>
      </c>
      <c r="W60" s="1"/>
      <c r="X60" s="1">
        <f t="shared" si="27"/>
        <v>11354.87000000001</v>
      </c>
      <c r="Y60" s="1"/>
      <c r="Z60" s="5">
        <f t="shared" si="28"/>
        <v>0.13881732641003292</v>
      </c>
    </row>
    <row r="61" spans="1:26" s="24" customFormat="1" hidden="1" outlineLevel="2" x14ac:dyDescent="0.3">
      <c r="A61" s="27"/>
      <c r="B61" s="11" t="str">
        <f>CONCATENATE("          ", "6111", " - ", "F.I.C.A.")</f>
        <v xml:space="preserve">          6111 - F.I.C.A.</v>
      </c>
      <c r="C61" s="11"/>
      <c r="D61" s="7">
        <v>1970.39</v>
      </c>
      <c r="E61" s="2"/>
      <c r="F61" s="6">
        <f t="shared" si="21"/>
        <v>3.580261487970695E-3</v>
      </c>
      <c r="G61" s="2"/>
      <c r="H61" s="7">
        <v>2182.61</v>
      </c>
      <c r="I61" s="2"/>
      <c r="J61" s="6">
        <f t="shared" si="22"/>
        <v>2.2069864969063045E-3</v>
      </c>
      <c r="K61" s="2"/>
      <c r="L61" s="7">
        <f t="shared" si="23"/>
        <v>-212.22000000000003</v>
      </c>
      <c r="M61" s="2"/>
      <c r="N61" s="6">
        <f t="shared" si="24"/>
        <v>-9.7232212809434587E-2</v>
      </c>
      <c r="O61" s="11"/>
      <c r="P61" s="7">
        <v>14850.68</v>
      </c>
      <c r="Q61" s="2"/>
      <c r="R61" s="6">
        <f t="shared" si="25"/>
        <v>7.6158976023862346E-3</v>
      </c>
      <c r="S61" s="2"/>
      <c r="T61" s="7">
        <v>15125.61</v>
      </c>
      <c r="U61" s="2"/>
      <c r="V61" s="6">
        <f t="shared" si="26"/>
        <v>5.9063480672935887E-3</v>
      </c>
      <c r="W61" s="2"/>
      <c r="X61" s="7">
        <f t="shared" si="27"/>
        <v>-274.93000000000029</v>
      </c>
      <c r="Y61" s="2"/>
      <c r="Z61" s="6">
        <f t="shared" si="28"/>
        <v>-1.8176457015617899E-2</v>
      </c>
    </row>
    <row r="62" spans="1:26" s="24" customFormat="1" hidden="1" outlineLevel="2" x14ac:dyDescent="0.3">
      <c r="A62" s="27"/>
      <c r="B62" s="11" t="str">
        <f>CONCATENATE("          ", "6112", " - ", "COMPENSATION INSURANCE")</f>
        <v xml:space="preserve">          6112 - COMPENSATION INSURANCE</v>
      </c>
      <c r="C62" s="11"/>
      <c r="D62" s="7">
        <v>363.33</v>
      </c>
      <c r="E62" s="2"/>
      <c r="F62" s="6">
        <f t="shared" si="21"/>
        <v>6.6018220069346298E-4</v>
      </c>
      <c r="G62" s="2"/>
      <c r="H62" s="7">
        <v>-125.07</v>
      </c>
      <c r="I62" s="2"/>
      <c r="J62" s="6">
        <f t="shared" si="22"/>
        <v>-1.264668452761013E-4</v>
      </c>
      <c r="K62" s="2"/>
      <c r="L62" s="7">
        <f t="shared" si="23"/>
        <v>488.4</v>
      </c>
      <c r="M62" s="2"/>
      <c r="N62" s="6">
        <f t="shared" si="24"/>
        <v>-3.9050131926121372</v>
      </c>
      <c r="O62" s="11"/>
      <c r="P62" s="7">
        <v>2912.05</v>
      </c>
      <c r="Q62" s="2"/>
      <c r="R62" s="6">
        <f t="shared" si="25"/>
        <v>1.4933911856580867E-3</v>
      </c>
      <c r="S62" s="2"/>
      <c r="T62" s="7">
        <v>856.97</v>
      </c>
      <c r="U62" s="2"/>
      <c r="V62" s="6">
        <f t="shared" si="26"/>
        <v>3.3463530417805211E-4</v>
      </c>
      <c r="W62" s="2"/>
      <c r="X62" s="7">
        <f t="shared" si="27"/>
        <v>2055.08</v>
      </c>
      <c r="Y62" s="2"/>
      <c r="Z62" s="6">
        <f t="shared" si="28"/>
        <v>2.3980769455173458</v>
      </c>
    </row>
    <row r="63" spans="1:26" s="24" customFormat="1" hidden="1" outlineLevel="2" x14ac:dyDescent="0.3">
      <c r="A63" s="27"/>
      <c r="B63" s="11" t="str">
        <f>CONCATENATE("          ", "6113", " - ", "GROUP INSURANCE")</f>
        <v xml:space="preserve">          6113 - GROUP INSURANCE</v>
      </c>
      <c r="C63" s="11"/>
      <c r="D63" s="7">
        <v>4452.97</v>
      </c>
      <c r="E63" s="2"/>
      <c r="F63" s="6">
        <f t="shared" si="21"/>
        <v>8.091188545459968E-3</v>
      </c>
      <c r="G63" s="2"/>
      <c r="H63" s="7">
        <v>4943.91</v>
      </c>
      <c r="I63" s="2"/>
      <c r="J63" s="6">
        <f t="shared" si="22"/>
        <v>4.9991260976170945E-3</v>
      </c>
      <c r="K63" s="2"/>
      <c r="L63" s="7">
        <f t="shared" si="23"/>
        <v>-490.9399999999996</v>
      </c>
      <c r="M63" s="2"/>
      <c r="N63" s="6">
        <f t="shared" si="24"/>
        <v>-9.9301969493781159E-2</v>
      </c>
      <c r="O63" s="11"/>
      <c r="P63" s="7">
        <v>32072.38</v>
      </c>
      <c r="Q63" s="2"/>
      <c r="R63" s="6">
        <f t="shared" si="25"/>
        <v>1.6447729123839461E-2</v>
      </c>
      <c r="S63" s="2"/>
      <c r="T63" s="7">
        <v>30332.13</v>
      </c>
      <c r="U63" s="2"/>
      <c r="V63" s="6">
        <f t="shared" si="26"/>
        <v>1.1844290405636393E-2</v>
      </c>
      <c r="W63" s="2"/>
      <c r="X63" s="7">
        <f t="shared" si="27"/>
        <v>1740.25</v>
      </c>
      <c r="Y63" s="2"/>
      <c r="Z63" s="6">
        <f t="shared" si="28"/>
        <v>5.7373155132857463E-2</v>
      </c>
    </row>
    <row r="64" spans="1:26" s="24" customFormat="1" hidden="1" outlineLevel="2" x14ac:dyDescent="0.3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7">
        <v>72.17</v>
      </c>
      <c r="E64" s="2"/>
      <c r="F64" s="6">
        <f t="shared" si="21"/>
        <v>1.311351923156558E-4</v>
      </c>
      <c r="G64" s="2"/>
      <c r="H64" s="7">
        <v>149.4</v>
      </c>
      <c r="I64" s="2"/>
      <c r="J64" s="6">
        <f t="shared" si="22"/>
        <v>1.5106857507195601E-4</v>
      </c>
      <c r="K64" s="2"/>
      <c r="L64" s="7">
        <f t="shared" si="23"/>
        <v>-77.23</v>
      </c>
      <c r="M64" s="2"/>
      <c r="N64" s="6">
        <f t="shared" si="24"/>
        <v>-0.51693440428380188</v>
      </c>
      <c r="O64" s="11"/>
      <c r="P64" s="7">
        <v>577.72</v>
      </c>
      <c r="Q64" s="2"/>
      <c r="R64" s="6">
        <f t="shared" si="25"/>
        <v>2.9627305704860488E-4</v>
      </c>
      <c r="S64" s="2"/>
      <c r="T64" s="7">
        <v>532.15</v>
      </c>
      <c r="U64" s="2"/>
      <c r="V64" s="6">
        <f t="shared" si="26"/>
        <v>2.0779744578964306E-4</v>
      </c>
      <c r="W64" s="2"/>
      <c r="X64" s="7">
        <f t="shared" si="27"/>
        <v>45.57000000000005</v>
      </c>
      <c r="Y64" s="2"/>
      <c r="Z64" s="6">
        <f t="shared" si="28"/>
        <v>8.5633749882552013E-2</v>
      </c>
    </row>
    <row r="65" spans="1:26" s="24" customFormat="1" hidden="1" outlineLevel="2" x14ac:dyDescent="0.3">
      <c r="A65" s="27"/>
      <c r="B65" s="11" t="str">
        <f>CONCATENATE("          ", "6115", " - ", "P.E.R.S.")</f>
        <v xml:space="preserve">          6115 - P.E.R.S.</v>
      </c>
      <c r="C65" s="11"/>
      <c r="D65" s="7">
        <v>1671.39</v>
      </c>
      <c r="E65" s="2"/>
      <c r="F65" s="6">
        <f t="shared" si="21"/>
        <v>3.0369689494868226E-3</v>
      </c>
      <c r="G65" s="2"/>
      <c r="H65" s="7">
        <v>2689.05</v>
      </c>
      <c r="I65" s="2"/>
      <c r="J65" s="6">
        <f t="shared" si="22"/>
        <v>2.7190826760190314E-3</v>
      </c>
      <c r="K65" s="2"/>
      <c r="L65" s="7">
        <f t="shared" si="23"/>
        <v>-1017.6600000000001</v>
      </c>
      <c r="M65" s="2"/>
      <c r="N65" s="6">
        <f t="shared" si="24"/>
        <v>-0.37844591956267082</v>
      </c>
      <c r="O65" s="11"/>
      <c r="P65" s="7">
        <v>12246.12</v>
      </c>
      <c r="Q65" s="2"/>
      <c r="R65" s="6">
        <f t="shared" si="25"/>
        <v>6.280196997479854E-3</v>
      </c>
      <c r="S65" s="2"/>
      <c r="T65" s="7">
        <v>13175.29</v>
      </c>
      <c r="U65" s="2"/>
      <c r="V65" s="6">
        <f t="shared" si="26"/>
        <v>5.1447742357189265E-3</v>
      </c>
      <c r="W65" s="2"/>
      <c r="X65" s="7">
        <f t="shared" si="27"/>
        <v>-929.17000000000007</v>
      </c>
      <c r="Y65" s="2"/>
      <c r="Z65" s="6">
        <f t="shared" si="28"/>
        <v>-7.052368486765756E-2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7">
        <v>459.29</v>
      </c>
      <c r="E66" s="2"/>
      <c r="F66" s="6">
        <f t="shared" si="21"/>
        <v>8.3454458194066178E-4</v>
      </c>
      <c r="G66" s="2"/>
      <c r="H66" s="7">
        <v>297.92</v>
      </c>
      <c r="I66" s="2"/>
      <c r="J66" s="6">
        <f t="shared" si="22"/>
        <v>3.0124732185700891E-4</v>
      </c>
      <c r="K66" s="2"/>
      <c r="L66" s="7">
        <f t="shared" si="23"/>
        <v>161.37</v>
      </c>
      <c r="M66" s="2"/>
      <c r="N66" s="6">
        <f t="shared" si="24"/>
        <v>0.54165547798066593</v>
      </c>
      <c r="O66" s="11"/>
      <c r="P66" s="7">
        <v>2267.2399999999998</v>
      </c>
      <c r="Q66" s="2"/>
      <c r="R66" s="6">
        <f t="shared" si="25"/>
        <v>1.1627122582961967E-3</v>
      </c>
      <c r="S66" s="2"/>
      <c r="T66" s="7">
        <v>1842.08</v>
      </c>
      <c r="U66" s="2"/>
      <c r="V66" s="6">
        <f t="shared" si="26"/>
        <v>7.1930756166529303E-4</v>
      </c>
      <c r="W66" s="2"/>
      <c r="X66" s="7">
        <f t="shared" si="27"/>
        <v>425.15999999999985</v>
      </c>
      <c r="Y66" s="2"/>
      <c r="Z66" s="6">
        <f t="shared" si="28"/>
        <v>0.23080430817336917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7">
        <v>2447.1999999999998</v>
      </c>
      <c r="E67" s="2"/>
      <c r="F67" s="6">
        <f t="shared" si="21"/>
        <v>4.4466404688218494E-3</v>
      </c>
      <c r="G67" s="2"/>
      <c r="H67" s="7">
        <v>1526.05</v>
      </c>
      <c r="I67" s="2"/>
      <c r="J67" s="6">
        <f t="shared" si="22"/>
        <v>1.5430937013959736E-3</v>
      </c>
      <c r="K67" s="2"/>
      <c r="L67" s="7">
        <f t="shared" si="23"/>
        <v>921.14999999999986</v>
      </c>
      <c r="M67" s="2"/>
      <c r="N67" s="6">
        <f t="shared" si="24"/>
        <v>0.60361718161266009</v>
      </c>
      <c r="O67" s="11"/>
      <c r="P67" s="7">
        <v>11680.88</v>
      </c>
      <c r="Q67" s="2"/>
      <c r="R67" s="6">
        <f t="shared" si="25"/>
        <v>5.9903240784773028E-3</v>
      </c>
      <c r="S67" s="2"/>
      <c r="T67" s="7">
        <v>9302.7000000000007</v>
      </c>
      <c r="U67" s="2"/>
      <c r="V67" s="6">
        <f t="shared" si="26"/>
        <v>3.6325797217839195E-3</v>
      </c>
      <c r="W67" s="2"/>
      <c r="X67" s="7">
        <f t="shared" si="27"/>
        <v>2378.1799999999985</v>
      </c>
      <c r="Y67" s="2"/>
      <c r="Z67" s="6">
        <f t="shared" si="28"/>
        <v>0.25564406032657166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7">
        <v>3712.89</v>
      </c>
      <c r="E68" s="2"/>
      <c r="F68" s="6">
        <f t="shared" si="21"/>
        <v>6.7464395759578117E-3</v>
      </c>
      <c r="G68" s="2"/>
      <c r="H68" s="7">
        <v>1147.56</v>
      </c>
      <c r="I68" s="2"/>
      <c r="J68" s="6">
        <f t="shared" si="22"/>
        <v>1.16037653286194E-3</v>
      </c>
      <c r="K68" s="2"/>
      <c r="L68" s="7">
        <f t="shared" si="23"/>
        <v>2565.33</v>
      </c>
      <c r="M68" s="2"/>
      <c r="N68" s="6">
        <f t="shared" si="24"/>
        <v>2.2354648122973964</v>
      </c>
      <c r="O68" s="11"/>
      <c r="P68" s="7">
        <v>10765.91</v>
      </c>
      <c r="Q68" s="2"/>
      <c r="R68" s="6">
        <f t="shared" si="25"/>
        <v>5.521098573028709E-3</v>
      </c>
      <c r="S68" s="2"/>
      <c r="T68" s="7">
        <v>7591.9</v>
      </c>
      <c r="U68" s="2"/>
      <c r="V68" s="6">
        <f t="shared" si="26"/>
        <v>2.9645352413612538E-3</v>
      </c>
      <c r="W68" s="2"/>
      <c r="X68" s="7">
        <f t="shared" si="27"/>
        <v>3174.01</v>
      </c>
      <c r="Y68" s="2"/>
      <c r="Z68" s="6">
        <f t="shared" si="28"/>
        <v>0.41807847837827161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7">
        <v>1037.3900000000001</v>
      </c>
      <c r="E69" s="2"/>
      <c r="F69" s="6">
        <f t="shared" si="21"/>
        <v>1.8849707240728584E-3</v>
      </c>
      <c r="G69" s="2"/>
      <c r="H69" s="7">
        <v>222.83</v>
      </c>
      <c r="I69" s="2"/>
      <c r="J69" s="6">
        <f t="shared" si="22"/>
        <v>2.253186786029716E-4</v>
      </c>
      <c r="K69" s="2"/>
      <c r="L69" s="7">
        <f t="shared" si="23"/>
        <v>814.56000000000006</v>
      </c>
      <c r="M69" s="2"/>
      <c r="N69" s="6">
        <f t="shared" si="24"/>
        <v>3.6555221469281514</v>
      </c>
      <c r="O69" s="11"/>
      <c r="P69" s="7">
        <v>5779.1</v>
      </c>
      <c r="Q69" s="2"/>
      <c r="R69" s="6">
        <f t="shared" si="25"/>
        <v>2.9637049504770345E-3</v>
      </c>
      <c r="S69" s="2"/>
      <c r="T69" s="7">
        <v>3038.38</v>
      </c>
      <c r="U69" s="2"/>
      <c r="V69" s="6">
        <f t="shared" si="26"/>
        <v>1.1864466848413714E-3</v>
      </c>
      <c r="W69" s="2"/>
      <c r="X69" s="7">
        <f t="shared" si="27"/>
        <v>2740.7200000000003</v>
      </c>
      <c r="Y69" s="2"/>
      <c r="Z69" s="6">
        <f t="shared" si="28"/>
        <v>0.90203332038783834</v>
      </c>
    </row>
    <row r="70" spans="1:26" s="29" customFormat="1" outlineLevel="1" collapsed="1" x14ac:dyDescent="0.3">
      <c r="A70" s="28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32963.040000000001</v>
      </c>
      <c r="E70" s="1"/>
      <c r="F70" s="5">
        <f t="shared" ref="F70:F77" si="29">IF(D$12=0,0,D70/D$12)</f>
        <v>5.9894895243295762E-2</v>
      </c>
      <c r="G70" s="1"/>
      <c r="H70" s="1">
        <f>SUM(OSRRefH22_1x_0)</f>
        <v>38361.300000000003</v>
      </c>
      <c r="I70" s="1"/>
      <c r="J70" s="5">
        <f t="shared" ref="J70:J77" si="30">IF(H$12=0,0,H70/H$12)</f>
        <v>3.8789738479972059E-2</v>
      </c>
      <c r="K70" s="1"/>
      <c r="L70" s="1">
        <f t="shared" ref="L70:L77" si="31">+D70-H70</f>
        <v>-5398.260000000002</v>
      </c>
      <c r="M70" s="1"/>
      <c r="N70" s="5">
        <f t="shared" ref="N70:N77" si="32">IF(H70=0,0,L70/H70)</f>
        <v>-0.14072150839517955</v>
      </c>
      <c r="O70" s="14"/>
      <c r="P70" s="1">
        <f>SUM(OSRRefP22_1x_0)</f>
        <v>208144.95</v>
      </c>
      <c r="Q70" s="1"/>
      <c r="R70" s="5">
        <f t="shared" ref="R70:R77" si="33">IF(P$12=0,0,P70/P$12)</f>
        <v>0.10674330237092192</v>
      </c>
      <c r="S70" s="1"/>
      <c r="T70" s="1">
        <f>SUM(OSRRefT22_1x_0)</f>
        <v>203768.37</v>
      </c>
      <c r="U70" s="1"/>
      <c r="V70" s="5">
        <f t="shared" ref="V70:V77" si="34">IF(T$12=0,0,T70/T$12)</f>
        <v>7.9568818601369787E-2</v>
      </c>
      <c r="W70" s="1"/>
      <c r="X70" s="1">
        <f t="shared" ref="X70:X77" si="35">+P70-T70</f>
        <v>4376.5800000000163</v>
      </c>
      <c r="Y70" s="1"/>
      <c r="Z70" s="5">
        <f t="shared" ref="Z70:Z77" si="36">IF(T70=0,0,X70/T70)</f>
        <v>2.1478210774321924E-2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9"/>
        <v>0</v>
      </c>
      <c r="G71" s="2"/>
      <c r="H71" s="7"/>
      <c r="I71" s="2"/>
      <c r="J71" s="6">
        <f t="shared" si="30"/>
        <v>0</v>
      </c>
      <c r="K71" s="2"/>
      <c r="L71" s="7">
        <f t="shared" si="31"/>
        <v>0</v>
      </c>
      <c r="M71" s="2"/>
      <c r="N71" s="6">
        <f t="shared" si="32"/>
        <v>0</v>
      </c>
      <c r="O71" s="11"/>
      <c r="P71" s="7"/>
      <c r="Q71" s="2"/>
      <c r="R71" s="6">
        <f t="shared" si="33"/>
        <v>0</v>
      </c>
      <c r="S71" s="2"/>
      <c r="T71" s="7">
        <v>-311.32</v>
      </c>
      <c r="U71" s="2"/>
      <c r="V71" s="6">
        <f t="shared" si="34"/>
        <v>-1.2156628924782802E-4</v>
      </c>
      <c r="W71" s="2"/>
      <c r="X71" s="7">
        <f t="shared" si="35"/>
        <v>311.32</v>
      </c>
      <c r="Y71" s="2"/>
      <c r="Z71" s="6">
        <f t="shared" si="36"/>
        <v>-1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7">
        <v>20995.06</v>
      </c>
      <c r="E72" s="2"/>
      <c r="F72" s="6">
        <f t="shared" si="29"/>
        <v>3.8148693789368616E-2</v>
      </c>
      <c r="G72" s="2"/>
      <c r="H72" s="7">
        <v>24862.47</v>
      </c>
      <c r="I72" s="2"/>
      <c r="J72" s="6">
        <f t="shared" si="30"/>
        <v>2.5140146691226599E-2</v>
      </c>
      <c r="K72" s="2"/>
      <c r="L72" s="7">
        <f t="shared" si="31"/>
        <v>-3867.41</v>
      </c>
      <c r="M72" s="2"/>
      <c r="N72" s="6">
        <f t="shared" si="32"/>
        <v>-0.15555212334092308</v>
      </c>
      <c r="O72" s="11"/>
      <c r="P72" s="7">
        <v>123203.56</v>
      </c>
      <c r="Q72" s="2"/>
      <c r="R72" s="6">
        <f t="shared" si="33"/>
        <v>6.3182675622223933E-2</v>
      </c>
      <c r="S72" s="2"/>
      <c r="T72" s="7">
        <v>121360.67</v>
      </c>
      <c r="U72" s="2"/>
      <c r="V72" s="6">
        <f t="shared" si="34"/>
        <v>4.7389715766832215E-2</v>
      </c>
      <c r="W72" s="2"/>
      <c r="X72" s="7">
        <f t="shared" si="35"/>
        <v>1842.8899999999994</v>
      </c>
      <c r="Y72" s="2"/>
      <c r="Z72" s="6">
        <f t="shared" si="36"/>
        <v>1.5185232579879457E-2</v>
      </c>
    </row>
    <row r="73" spans="1:26" s="24" customFormat="1" hidden="1" outlineLevel="2" x14ac:dyDescent="0.3">
      <c r="A73" s="27"/>
      <c r="B73" s="11" t="str">
        <f>CONCATENATE("          ", "6004", " - ", "STAFF HOURLY")</f>
        <v xml:space="preserve">          6004 - STAFF HOURLY</v>
      </c>
      <c r="C73" s="11"/>
      <c r="D73" s="7">
        <v>6871.75</v>
      </c>
      <c r="E73" s="2"/>
      <c r="F73" s="6">
        <f t="shared" si="29"/>
        <v>1.2486188967647331E-2</v>
      </c>
      <c r="G73" s="2"/>
      <c r="H73" s="7">
        <v>8056.36</v>
      </c>
      <c r="I73" s="2"/>
      <c r="J73" s="6">
        <f t="shared" si="30"/>
        <v>8.1463375198574522E-3</v>
      </c>
      <c r="K73" s="2"/>
      <c r="L73" s="7">
        <f t="shared" si="31"/>
        <v>-1184.6099999999997</v>
      </c>
      <c r="M73" s="2"/>
      <c r="N73" s="6">
        <f t="shared" si="32"/>
        <v>-0.14704035072911337</v>
      </c>
      <c r="O73" s="11"/>
      <c r="P73" s="7">
        <v>42434.879999999997</v>
      </c>
      <c r="Q73" s="2"/>
      <c r="R73" s="6">
        <f t="shared" si="33"/>
        <v>2.1761946311518902E-2</v>
      </c>
      <c r="S73" s="2"/>
      <c r="T73" s="7">
        <v>47894.41</v>
      </c>
      <c r="U73" s="2"/>
      <c r="V73" s="6">
        <f t="shared" si="34"/>
        <v>1.8702125463876614E-2</v>
      </c>
      <c r="W73" s="2"/>
      <c r="X73" s="7">
        <f t="shared" si="35"/>
        <v>-5459.5300000000061</v>
      </c>
      <c r="Y73" s="2"/>
      <c r="Z73" s="6">
        <f t="shared" si="36"/>
        <v>-0.11399096470757246</v>
      </c>
    </row>
    <row r="74" spans="1:26" s="24" customFormat="1" hidden="1" outlineLevel="2" x14ac:dyDescent="0.3">
      <c r="A74" s="27"/>
      <c r="B74" s="11" t="str">
        <f>CONCATENATE("          ", "6005", " - ", "TEMPORARY WAGES-HOURLY")</f>
        <v xml:space="preserve">          6005 - TEMPORARY WAGES-HOURLY</v>
      </c>
      <c r="C74" s="11"/>
      <c r="D74" s="7"/>
      <c r="E74" s="2"/>
      <c r="F74" s="6">
        <f t="shared" si="29"/>
        <v>0</v>
      </c>
      <c r="G74" s="2"/>
      <c r="H74" s="7"/>
      <c r="I74" s="2"/>
      <c r="J74" s="6">
        <f t="shared" si="30"/>
        <v>0</v>
      </c>
      <c r="K74" s="2"/>
      <c r="L74" s="7">
        <f t="shared" si="31"/>
        <v>0</v>
      </c>
      <c r="M74" s="2"/>
      <c r="N74" s="6">
        <f t="shared" si="32"/>
        <v>0</v>
      </c>
      <c r="O74" s="11"/>
      <c r="P74" s="7">
        <v>14698.31</v>
      </c>
      <c r="Q74" s="2"/>
      <c r="R74" s="6">
        <f t="shared" si="33"/>
        <v>7.5377574554249104E-3</v>
      </c>
      <c r="S74" s="2"/>
      <c r="T74" s="7">
        <v>12838</v>
      </c>
      <c r="U74" s="2"/>
      <c r="V74" s="6">
        <f t="shared" si="34"/>
        <v>5.0130670093910326E-3</v>
      </c>
      <c r="W74" s="2"/>
      <c r="X74" s="7">
        <f t="shared" si="35"/>
        <v>1860.3099999999995</v>
      </c>
      <c r="Y74" s="2"/>
      <c r="Z74" s="6">
        <f t="shared" si="36"/>
        <v>0.14490652749649474</v>
      </c>
    </row>
    <row r="75" spans="1:26" s="24" customFormat="1" hidden="1" outlineLevel="2" x14ac:dyDescent="0.3">
      <c r="A75" s="27"/>
      <c r="B75" s="11" t="str">
        <f>CONCATENATE("          ", "6006", " - ", "TEMPORARY PART TIME")</f>
        <v xml:space="preserve">          6006 - TEMPORARY PART TIME</v>
      </c>
      <c r="C75" s="11"/>
      <c r="D75" s="7"/>
      <c r="E75" s="2"/>
      <c r="F75" s="6">
        <f t="shared" si="29"/>
        <v>0</v>
      </c>
      <c r="G75" s="2"/>
      <c r="H75" s="7"/>
      <c r="I75" s="2"/>
      <c r="J75" s="6">
        <f t="shared" si="30"/>
        <v>0</v>
      </c>
      <c r="K75" s="2"/>
      <c r="L75" s="7">
        <f t="shared" si="31"/>
        <v>0</v>
      </c>
      <c r="M75" s="2"/>
      <c r="N75" s="6">
        <f t="shared" si="32"/>
        <v>0</v>
      </c>
      <c r="O75" s="11"/>
      <c r="P75" s="7"/>
      <c r="Q75" s="2"/>
      <c r="R75" s="6">
        <f t="shared" si="33"/>
        <v>0</v>
      </c>
      <c r="S75" s="2"/>
      <c r="T75" s="7">
        <v>502.29</v>
      </c>
      <c r="U75" s="2"/>
      <c r="V75" s="6">
        <f t="shared" si="34"/>
        <v>1.9613751582388391E-4</v>
      </c>
      <c r="W75" s="2"/>
      <c r="X75" s="7">
        <f t="shared" si="35"/>
        <v>-502.29</v>
      </c>
      <c r="Y75" s="2"/>
      <c r="Z75" s="6">
        <f t="shared" si="36"/>
        <v>-1</v>
      </c>
    </row>
    <row r="76" spans="1:26" s="24" customFormat="1" hidden="1" outlineLevel="2" x14ac:dyDescent="0.3">
      <c r="A76" s="27"/>
      <c r="B76" s="11" t="str">
        <f>CONCATENATE("          ", "6007", " - ", "STUDENT HOURLY")</f>
        <v xml:space="preserve">          6007 - STUDENT HOURLY</v>
      </c>
      <c r="C76" s="11"/>
      <c r="D76" s="7">
        <v>5096.2299999999996</v>
      </c>
      <c r="E76" s="2"/>
      <c r="F76" s="6">
        <f t="shared" si="29"/>
        <v>9.26001248627982E-3</v>
      </c>
      <c r="G76" s="2"/>
      <c r="H76" s="7">
        <v>4760.1099999999997</v>
      </c>
      <c r="I76" s="2"/>
      <c r="J76" s="6">
        <f t="shared" si="30"/>
        <v>4.813273325875291E-3</v>
      </c>
      <c r="K76" s="2"/>
      <c r="L76" s="7">
        <f t="shared" si="31"/>
        <v>336.11999999999989</v>
      </c>
      <c r="M76" s="2"/>
      <c r="N76" s="6">
        <f t="shared" si="32"/>
        <v>7.061181359254301E-2</v>
      </c>
      <c r="O76" s="11"/>
      <c r="P76" s="7">
        <v>23841.72</v>
      </c>
      <c r="Q76" s="2"/>
      <c r="R76" s="6">
        <f t="shared" si="33"/>
        <v>1.2226786799309119E-2</v>
      </c>
      <c r="S76" s="2"/>
      <c r="T76" s="7">
        <v>20801.96</v>
      </c>
      <c r="U76" s="2"/>
      <c r="V76" s="6">
        <f t="shared" si="34"/>
        <v>8.1228866962666981E-3</v>
      </c>
      <c r="W76" s="2"/>
      <c r="X76" s="7">
        <f t="shared" si="35"/>
        <v>3039.760000000002</v>
      </c>
      <c r="Y76" s="2"/>
      <c r="Z76" s="6">
        <f t="shared" si="36"/>
        <v>0.14612853788777605</v>
      </c>
    </row>
    <row r="77" spans="1:26" s="24" customFormat="1" hidden="1" outlineLevel="2" x14ac:dyDescent="0.3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9"/>
        <v>0</v>
      </c>
      <c r="G77" s="2"/>
      <c r="H77" s="7">
        <v>682.36</v>
      </c>
      <c r="I77" s="2"/>
      <c r="J77" s="6">
        <f t="shared" si="30"/>
        <v>6.8998094301271683E-4</v>
      </c>
      <c r="K77" s="2"/>
      <c r="L77" s="7">
        <f t="shared" si="31"/>
        <v>-682.36</v>
      </c>
      <c r="M77" s="2"/>
      <c r="N77" s="6">
        <f t="shared" si="32"/>
        <v>-1</v>
      </c>
      <c r="O77" s="11"/>
      <c r="P77" s="7">
        <v>3966.48</v>
      </c>
      <c r="Q77" s="2"/>
      <c r="R77" s="6">
        <f t="shared" si="33"/>
        <v>2.0341361824450428E-3</v>
      </c>
      <c r="S77" s="2"/>
      <c r="T77" s="7">
        <v>682.36</v>
      </c>
      <c r="U77" s="2"/>
      <c r="V77" s="6">
        <f t="shared" si="34"/>
        <v>2.6645243842717437E-4</v>
      </c>
      <c r="W77" s="2"/>
      <c r="X77" s="7">
        <f t="shared" si="35"/>
        <v>3284.12</v>
      </c>
      <c r="Y77" s="2"/>
      <c r="Z77" s="6">
        <f t="shared" si="36"/>
        <v>4.8128846942962653</v>
      </c>
    </row>
    <row r="78" spans="1:26" s="29" customFormat="1" outlineLevel="1" collapsed="1" x14ac:dyDescent="0.3">
      <c r="A78" s="28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</v>
      </c>
      <c r="E78" s="1"/>
      <c r="F78" s="5">
        <f t="shared" ref="F78:F82" si="37">IF(D$12=0,0,D78/D$12)</f>
        <v>0</v>
      </c>
      <c r="G78" s="1"/>
      <c r="H78" s="1">
        <f>SUM(OSRRefH22_2x_0)</f>
        <v>569.11</v>
      </c>
      <c r="I78" s="1"/>
      <c r="J78" s="5">
        <f t="shared" ref="J78:J82" si="38">IF(H$12=0,0,H78/H$12)</f>
        <v>5.7546610949933653E-4</v>
      </c>
      <c r="K78" s="1"/>
      <c r="L78" s="1">
        <f t="shared" ref="L78:L82" si="39">+D78-H78</f>
        <v>-569.11</v>
      </c>
      <c r="M78" s="1"/>
      <c r="N78" s="5">
        <f t="shared" ref="N78:N82" si="40">IF(H78=0,0,L78/H78)</f>
        <v>-1</v>
      </c>
      <c r="O78" s="14"/>
      <c r="P78" s="1">
        <f>SUM(OSRRefP22_2x_0)</f>
        <v>797.25</v>
      </c>
      <c r="Q78" s="1"/>
      <c r="R78" s="5">
        <f t="shared" ref="R78:R82" si="41">IF(P$12=0,0,P78/P$12)</f>
        <v>4.0885497253340759E-4</v>
      </c>
      <c r="S78" s="1"/>
      <c r="T78" s="1">
        <f>SUM(OSRRefT22_2x_0)</f>
        <v>1999.55</v>
      </c>
      <c r="U78" s="1"/>
      <c r="V78" s="5">
        <f t="shared" ref="V78:V82" si="42">IF(T$12=0,0,T78/T$12)</f>
        <v>7.807974870406479E-4</v>
      </c>
      <c r="W78" s="1"/>
      <c r="X78" s="1">
        <f t="shared" ref="X78:X82" si="43">+P78-T78</f>
        <v>-1202.3</v>
      </c>
      <c r="Y78" s="1"/>
      <c r="Z78" s="5">
        <f t="shared" ref="Z78:Z82" si="44">IF(T78=0,0,X78/T78)</f>
        <v>-0.60128528919006774</v>
      </c>
    </row>
    <row r="79" spans="1:26" s="24" customFormat="1" hidden="1" outlineLevel="2" x14ac:dyDescent="0.3">
      <c r="A79" s="27"/>
      <c r="B79" s="11" t="str">
        <f>CONCATENATE("          ", "6362", " - ", "ADVERTISING EXPENSE")</f>
        <v xml:space="preserve">          6362 - ADVERTISING EXPENSE</v>
      </c>
      <c r="C79" s="11"/>
      <c r="D79" s="7"/>
      <c r="E79" s="2"/>
      <c r="F79" s="6">
        <f t="shared" si="37"/>
        <v>0</v>
      </c>
      <c r="G79" s="2"/>
      <c r="H79" s="7">
        <v>569.11</v>
      </c>
      <c r="I79" s="2"/>
      <c r="J79" s="6">
        <f t="shared" si="38"/>
        <v>5.7546610949933653E-4</v>
      </c>
      <c r="K79" s="2"/>
      <c r="L79" s="7">
        <f t="shared" si="39"/>
        <v>-569.11</v>
      </c>
      <c r="M79" s="2"/>
      <c r="N79" s="6">
        <f t="shared" si="40"/>
        <v>-1</v>
      </c>
      <c r="O79" s="11"/>
      <c r="P79" s="7">
        <v>797.25</v>
      </c>
      <c r="Q79" s="2"/>
      <c r="R79" s="6">
        <f t="shared" si="41"/>
        <v>4.0885497253340759E-4</v>
      </c>
      <c r="S79" s="2"/>
      <c r="T79" s="7">
        <v>1999.55</v>
      </c>
      <c r="U79" s="2"/>
      <c r="V79" s="6">
        <f t="shared" si="42"/>
        <v>7.807974870406479E-4</v>
      </c>
      <c r="W79" s="2"/>
      <c r="X79" s="7">
        <f t="shared" si="43"/>
        <v>-1202.3</v>
      </c>
      <c r="Y79" s="2"/>
      <c r="Z79" s="6">
        <f t="shared" si="44"/>
        <v>-0.60128528919006774</v>
      </c>
    </row>
    <row r="80" spans="1:26" s="29" customFormat="1" outlineLevel="1" collapsed="1" x14ac:dyDescent="0.3">
      <c r="A80" s="28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1.35</v>
      </c>
      <c r="E80" s="1"/>
      <c r="F80" s="5">
        <f t="shared" si="37"/>
        <v>2.4529930667332045E-6</v>
      </c>
      <c r="G80" s="1"/>
      <c r="H80" s="1">
        <f>SUM(OSRRefH22_3x_0)</f>
        <v>-42.86</v>
      </c>
      <c r="I80" s="1"/>
      <c r="J80" s="5">
        <f t="shared" si="38"/>
        <v>-4.3338682246211739E-5</v>
      </c>
      <c r="K80" s="1"/>
      <c r="L80" s="1">
        <f t="shared" si="39"/>
        <v>44.21</v>
      </c>
      <c r="M80" s="1"/>
      <c r="N80" s="5">
        <f t="shared" si="40"/>
        <v>-1.0314979001399907</v>
      </c>
      <c r="O80" s="14"/>
      <c r="P80" s="1">
        <f>SUM(OSRRefP22_3x_0)</f>
        <v>1.35</v>
      </c>
      <c r="Q80" s="1"/>
      <c r="R80" s="5">
        <f t="shared" si="41"/>
        <v>6.9232262517416156E-7</v>
      </c>
      <c r="S80" s="1"/>
      <c r="T80" s="1">
        <f>SUM(OSRRefT22_3x_0)</f>
        <v>-42.86</v>
      </c>
      <c r="U80" s="1"/>
      <c r="V80" s="5">
        <f t="shared" si="42"/>
        <v>-1.6736255804837176E-5</v>
      </c>
      <c r="W80" s="1"/>
      <c r="X80" s="1">
        <f t="shared" si="43"/>
        <v>44.21</v>
      </c>
      <c r="Y80" s="1"/>
      <c r="Z80" s="5">
        <f t="shared" si="44"/>
        <v>-1.0314979001399907</v>
      </c>
    </row>
    <row r="81" spans="1:26" s="24" customFormat="1" hidden="1" outlineLevel="2" x14ac:dyDescent="0.3">
      <c r="A81" s="27"/>
      <c r="B81" s="11" t="str">
        <f>CONCATENATE("          ", "6382", " - ", "DISCOUNTS/MARK DOWNS")</f>
        <v xml:space="preserve">          6382 - DISCOUNTS/MARK DOWNS</v>
      </c>
      <c r="C81" s="11"/>
      <c r="D81" s="7">
        <v>1.35</v>
      </c>
      <c r="E81" s="2"/>
      <c r="F81" s="6">
        <f t="shared" si="37"/>
        <v>2.4529930667332045E-6</v>
      </c>
      <c r="G81" s="2"/>
      <c r="H81" s="7">
        <v>0</v>
      </c>
      <c r="I81" s="2"/>
      <c r="J81" s="6">
        <f t="shared" si="38"/>
        <v>0</v>
      </c>
      <c r="K81" s="2"/>
      <c r="L81" s="7">
        <f t="shared" si="39"/>
        <v>1.35</v>
      </c>
      <c r="M81" s="2"/>
      <c r="N81" s="6">
        <f t="shared" si="40"/>
        <v>0</v>
      </c>
      <c r="O81" s="11"/>
      <c r="P81" s="7">
        <v>1.35</v>
      </c>
      <c r="Q81" s="2"/>
      <c r="R81" s="6">
        <f t="shared" si="41"/>
        <v>6.9232262517416156E-7</v>
      </c>
      <c r="S81" s="2"/>
      <c r="T81" s="7">
        <v>0</v>
      </c>
      <c r="U81" s="2"/>
      <c r="V81" s="6">
        <f t="shared" si="42"/>
        <v>0</v>
      </c>
      <c r="W81" s="2"/>
      <c r="X81" s="7">
        <f t="shared" si="43"/>
        <v>1.35</v>
      </c>
      <c r="Y81" s="2"/>
      <c r="Z81" s="6">
        <f t="shared" si="44"/>
        <v>0</v>
      </c>
    </row>
    <row r="82" spans="1:26" s="24" customFormat="1" hidden="1" outlineLevel="2" x14ac:dyDescent="0.3">
      <c r="A82" s="27"/>
      <c r="B82" s="11" t="str">
        <f>CONCATENATE("          ", "9175", " - ", "EARNED DISCOUNTS")</f>
        <v xml:space="preserve">          9175 - EARNED DISCOUNTS</v>
      </c>
      <c r="C82" s="11"/>
      <c r="D82" s="7"/>
      <c r="E82" s="2"/>
      <c r="F82" s="6">
        <f t="shared" si="37"/>
        <v>0</v>
      </c>
      <c r="G82" s="2"/>
      <c r="H82" s="7">
        <v>-42.86</v>
      </c>
      <c r="I82" s="2"/>
      <c r="J82" s="6">
        <f t="shared" si="38"/>
        <v>-4.3338682246211739E-5</v>
      </c>
      <c r="K82" s="2"/>
      <c r="L82" s="7">
        <f t="shared" si="39"/>
        <v>42.86</v>
      </c>
      <c r="M82" s="2"/>
      <c r="N82" s="6">
        <f t="shared" si="40"/>
        <v>-1</v>
      </c>
      <c r="O82" s="11"/>
      <c r="P82" s="7"/>
      <c r="Q82" s="2"/>
      <c r="R82" s="6">
        <f t="shared" si="41"/>
        <v>0</v>
      </c>
      <c r="S82" s="2"/>
      <c r="T82" s="7">
        <v>-42.86</v>
      </c>
      <c r="U82" s="2"/>
      <c r="V82" s="6">
        <f t="shared" si="42"/>
        <v>-1.6736255804837176E-5</v>
      </c>
      <c r="W82" s="2"/>
      <c r="X82" s="7">
        <f t="shared" si="43"/>
        <v>42.86</v>
      </c>
      <c r="Y82" s="2"/>
      <c r="Z82" s="6">
        <f t="shared" si="44"/>
        <v>-1</v>
      </c>
    </row>
    <row r="83" spans="1:26" s="29" customFormat="1" outlineLevel="1" collapsed="1" x14ac:dyDescent="0.3">
      <c r="A83" s="28"/>
      <c r="B83" s="14" t="str">
        <f>CONCATENATE("     ","Employees' Appreciation                           ")</f>
        <v xml:space="preserve">     Employees' Appreciation                           </v>
      </c>
      <c r="C83" s="14"/>
      <c r="D83" s="1">
        <f>SUM(OSRRefD22_4x_0)</f>
        <v>0</v>
      </c>
      <c r="E83" s="1"/>
      <c r="F83" s="5">
        <f t="shared" ref="F83:F89" si="45">IF(D$12=0,0,D83/D$12)</f>
        <v>0</v>
      </c>
      <c r="G83" s="1"/>
      <c r="H83" s="1">
        <f>SUM(OSRRefH22_4x_0)</f>
        <v>0</v>
      </c>
      <c r="I83" s="1"/>
      <c r="J83" s="5">
        <f t="shared" ref="J83:J89" si="46">IF(H$12=0,0,H83/H$12)</f>
        <v>0</v>
      </c>
      <c r="K83" s="1"/>
      <c r="L83" s="1">
        <f t="shared" ref="L83:L89" si="47">+D83-H83</f>
        <v>0</v>
      </c>
      <c r="M83" s="1"/>
      <c r="N83" s="5">
        <f t="shared" ref="N83:N89" si="48">IF(H83=0,0,L83/H83)</f>
        <v>0</v>
      </c>
      <c r="O83" s="14"/>
      <c r="P83" s="1">
        <f>SUM(OSRRefP22_4x_0)</f>
        <v>0</v>
      </c>
      <c r="Q83" s="1"/>
      <c r="R83" s="5">
        <f t="shared" ref="R83:R89" si="49">IF(P$12=0,0,P83/P$12)</f>
        <v>0</v>
      </c>
      <c r="S83" s="1"/>
      <c r="T83" s="1">
        <f>SUM(OSRRefT22_4x_0)</f>
        <v>107.7</v>
      </c>
      <c r="U83" s="1"/>
      <c r="V83" s="5">
        <f t="shared" ref="V83:V89" si="50">IF(T$12=0,0,T83/T$12)</f>
        <v>4.2055407143746238E-5</v>
      </c>
      <c r="W83" s="1"/>
      <c r="X83" s="1">
        <f t="shared" ref="X83:X89" si="51">+P83-T83</f>
        <v>-107.7</v>
      </c>
      <c r="Y83" s="1"/>
      <c r="Z83" s="5">
        <f t="shared" ref="Z83:Z89" si="52">IF(T83=0,0,X83/T83)</f>
        <v>-1</v>
      </c>
    </row>
    <row r="84" spans="1:26" s="24" customFormat="1" hidden="1" outlineLevel="2" x14ac:dyDescent="0.3">
      <c r="A84" s="27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45"/>
        <v>0</v>
      </c>
      <c r="G84" s="2"/>
      <c r="H84" s="7"/>
      <c r="I84" s="2"/>
      <c r="J84" s="6">
        <f t="shared" si="46"/>
        <v>0</v>
      </c>
      <c r="K84" s="2"/>
      <c r="L84" s="7">
        <f t="shared" si="47"/>
        <v>0</v>
      </c>
      <c r="M84" s="2"/>
      <c r="N84" s="6">
        <f t="shared" si="48"/>
        <v>0</v>
      </c>
      <c r="O84" s="11"/>
      <c r="P84" s="7"/>
      <c r="Q84" s="2"/>
      <c r="R84" s="6">
        <f t="shared" si="49"/>
        <v>0</v>
      </c>
      <c r="S84" s="2"/>
      <c r="T84" s="7">
        <v>107.7</v>
      </c>
      <c r="U84" s="2"/>
      <c r="V84" s="6">
        <f t="shared" si="50"/>
        <v>4.2055407143746238E-5</v>
      </c>
      <c r="W84" s="2"/>
      <c r="X84" s="7">
        <f t="shared" si="51"/>
        <v>-107.7</v>
      </c>
      <c r="Y84" s="2"/>
      <c r="Z84" s="6">
        <f t="shared" si="52"/>
        <v>-1</v>
      </c>
    </row>
    <row r="85" spans="1:26" s="29" customFormat="1" outlineLevel="1" collapsed="1" x14ac:dyDescent="0.3">
      <c r="A85" s="28"/>
      <c r="B85" s="14" t="str">
        <f>CONCATENATE("     ","Equipment Rental                                  ")</f>
        <v xml:space="preserve">     Equipment Rental                                  </v>
      </c>
      <c r="C85" s="14"/>
      <c r="D85" s="1">
        <f>SUM(OSRRefD22_5x_0)</f>
        <v>91.26</v>
      </c>
      <c r="E85" s="1"/>
      <c r="F85" s="5">
        <f t="shared" si="45"/>
        <v>1.6582233131116461E-4</v>
      </c>
      <c r="G85" s="1"/>
      <c r="H85" s="1">
        <f>SUM(OSRRefH22_5x_0)</f>
        <v>91.26</v>
      </c>
      <c r="I85" s="1"/>
      <c r="J85" s="5">
        <f t="shared" si="46"/>
        <v>9.2279238025881559E-5</v>
      </c>
      <c r="K85" s="1"/>
      <c r="L85" s="1">
        <f t="shared" si="47"/>
        <v>0</v>
      </c>
      <c r="M85" s="1"/>
      <c r="N85" s="5">
        <f t="shared" si="48"/>
        <v>0</v>
      </c>
      <c r="O85" s="14"/>
      <c r="P85" s="1">
        <f>SUM(OSRRefP22_5x_0)</f>
        <v>638.82000000000005</v>
      </c>
      <c r="Q85" s="1"/>
      <c r="R85" s="5">
        <f t="shared" si="49"/>
        <v>3.2760706623241321E-4</v>
      </c>
      <c r="S85" s="1"/>
      <c r="T85" s="1">
        <f>SUM(OSRRefT22_5x_0)</f>
        <v>638.82000000000005</v>
      </c>
      <c r="U85" s="1"/>
      <c r="V85" s="5">
        <f t="shared" si="50"/>
        <v>2.4945065173229315E-4</v>
      </c>
      <c r="W85" s="1"/>
      <c r="X85" s="1">
        <f t="shared" si="51"/>
        <v>0</v>
      </c>
      <c r="Y85" s="1"/>
      <c r="Z85" s="5">
        <f t="shared" si="52"/>
        <v>0</v>
      </c>
    </row>
    <row r="86" spans="1:26" s="24" customFormat="1" hidden="1" outlineLevel="2" x14ac:dyDescent="0.3">
      <c r="A86" s="27"/>
      <c r="B86" s="11" t="str">
        <f>CONCATENATE("          ", "6351", " - ", "EQUIPMENT RENTAL")</f>
        <v xml:space="preserve">          6351 - EQUIPMENT RENTAL</v>
      </c>
      <c r="C86" s="11"/>
      <c r="D86" s="7">
        <v>91.26</v>
      </c>
      <c r="E86" s="2"/>
      <c r="F86" s="6">
        <f t="shared" si="45"/>
        <v>1.6582233131116461E-4</v>
      </c>
      <c r="G86" s="2"/>
      <c r="H86" s="7">
        <v>91.26</v>
      </c>
      <c r="I86" s="2"/>
      <c r="J86" s="6">
        <f t="shared" si="46"/>
        <v>9.2279238025881559E-5</v>
      </c>
      <c r="K86" s="2"/>
      <c r="L86" s="7">
        <f t="shared" si="47"/>
        <v>0</v>
      </c>
      <c r="M86" s="2"/>
      <c r="N86" s="6">
        <f t="shared" si="48"/>
        <v>0</v>
      </c>
      <c r="O86" s="11"/>
      <c r="P86" s="7">
        <v>638.82000000000005</v>
      </c>
      <c r="Q86" s="2"/>
      <c r="R86" s="6">
        <f t="shared" si="49"/>
        <v>3.2760706623241321E-4</v>
      </c>
      <c r="S86" s="2"/>
      <c r="T86" s="7">
        <v>638.82000000000005</v>
      </c>
      <c r="U86" s="2"/>
      <c r="V86" s="6">
        <f t="shared" si="50"/>
        <v>2.4945065173229315E-4</v>
      </c>
      <c r="W86" s="2"/>
      <c r="X86" s="7">
        <f t="shared" si="51"/>
        <v>0</v>
      </c>
      <c r="Y86" s="2"/>
      <c r="Z86" s="6">
        <f t="shared" si="52"/>
        <v>0</v>
      </c>
    </row>
    <row r="87" spans="1:26" s="29" customFormat="1" outlineLevel="1" collapsed="1" x14ac:dyDescent="0.3">
      <c r="A87" s="28"/>
      <c r="B87" s="14" t="str">
        <f>CONCATENATE("     ","Freight out/Postage                               ")</f>
        <v xml:space="preserve">     Freight out/Postage                               </v>
      </c>
      <c r="C87" s="14"/>
      <c r="D87" s="1">
        <f>SUM(OSRRefD22_6x_0)</f>
        <v>1131.33</v>
      </c>
      <c r="E87" s="1"/>
      <c r="F87" s="5">
        <f t="shared" si="45"/>
        <v>2.0556627008794636E-3</v>
      </c>
      <c r="G87" s="1"/>
      <c r="H87" s="1">
        <f>SUM(OSRRefH22_6x_0)</f>
        <v>272.02</v>
      </c>
      <c r="I87" s="1"/>
      <c r="J87" s="5">
        <f t="shared" si="46"/>
        <v>2.750580575038385E-4</v>
      </c>
      <c r="K87" s="1"/>
      <c r="L87" s="1">
        <f t="shared" si="47"/>
        <v>859.31</v>
      </c>
      <c r="M87" s="1"/>
      <c r="N87" s="5">
        <f t="shared" si="48"/>
        <v>3.1589956620836701</v>
      </c>
      <c r="O87" s="14"/>
      <c r="P87" s="1">
        <f>SUM(OSRRefP22_6x_0)</f>
        <v>5622.11</v>
      </c>
      <c r="Q87" s="1"/>
      <c r="R87" s="5">
        <f t="shared" si="49"/>
        <v>2.8831955216428924E-3</v>
      </c>
      <c r="S87" s="1"/>
      <c r="T87" s="1">
        <f>SUM(OSRRefT22_6x_0)</f>
        <v>9170.0499999999993</v>
      </c>
      <c r="U87" s="1"/>
      <c r="V87" s="5">
        <f t="shared" si="50"/>
        <v>3.5807816738951731E-3</v>
      </c>
      <c r="W87" s="1"/>
      <c r="X87" s="1">
        <f t="shared" si="51"/>
        <v>-3547.9399999999996</v>
      </c>
      <c r="Y87" s="1"/>
      <c r="Z87" s="5">
        <f t="shared" si="52"/>
        <v>-0.38690519680917768</v>
      </c>
    </row>
    <row r="88" spans="1:26" s="24" customFormat="1" hidden="1" outlineLevel="2" x14ac:dyDescent="0.3">
      <c r="A88" s="27"/>
      <c r="B88" s="11" t="str">
        <f>CONCATENATE("          ", "6305", " - ", "FREIGHT OUT")</f>
        <v xml:space="preserve">          6305 - FREIGHT OUT</v>
      </c>
      <c r="C88" s="11"/>
      <c r="D88" s="7">
        <v>1130.8</v>
      </c>
      <c r="E88" s="2"/>
      <c r="F88" s="6">
        <f t="shared" si="45"/>
        <v>2.054699673971783E-3</v>
      </c>
      <c r="G88" s="2"/>
      <c r="H88" s="7">
        <v>571.52</v>
      </c>
      <c r="I88" s="2"/>
      <c r="J88" s="6">
        <f t="shared" si="46"/>
        <v>5.7790302560324159E-4</v>
      </c>
      <c r="K88" s="2"/>
      <c r="L88" s="7">
        <f t="shared" si="47"/>
        <v>559.28</v>
      </c>
      <c r="M88" s="2"/>
      <c r="N88" s="6">
        <f t="shared" si="48"/>
        <v>0.9785834266517357</v>
      </c>
      <c r="O88" s="11"/>
      <c r="P88" s="7">
        <v>5621.58</v>
      </c>
      <c r="Q88" s="2"/>
      <c r="R88" s="6">
        <f t="shared" si="49"/>
        <v>2.882923720908565E-3</v>
      </c>
      <c r="S88" s="2"/>
      <c r="T88" s="7">
        <v>9169.5499999999993</v>
      </c>
      <c r="U88" s="2"/>
      <c r="V88" s="6">
        <f t="shared" si="50"/>
        <v>3.5805864305936698E-3</v>
      </c>
      <c r="W88" s="2"/>
      <c r="X88" s="7">
        <f t="shared" si="51"/>
        <v>-3547.9699999999993</v>
      </c>
      <c r="Y88" s="2"/>
      <c r="Z88" s="6">
        <f t="shared" si="52"/>
        <v>-0.38692956579112386</v>
      </c>
    </row>
    <row r="89" spans="1:26" s="24" customFormat="1" hidden="1" outlineLevel="2" x14ac:dyDescent="0.3">
      <c r="A89" s="27"/>
      <c r="B89" s="11" t="str">
        <f>CONCATENATE("          ", "6307", " - ", "POSTAGE")</f>
        <v xml:space="preserve">          6307 - POSTAGE</v>
      </c>
      <c r="C89" s="11"/>
      <c r="D89" s="7">
        <v>0.53</v>
      </c>
      <c r="E89" s="2"/>
      <c r="F89" s="6">
        <f t="shared" si="45"/>
        <v>9.6302690768044318E-7</v>
      </c>
      <c r="G89" s="2"/>
      <c r="H89" s="7">
        <v>-299.5</v>
      </c>
      <c r="I89" s="2"/>
      <c r="J89" s="6">
        <f t="shared" si="46"/>
        <v>-3.0284496809940308E-4</v>
      </c>
      <c r="K89" s="2"/>
      <c r="L89" s="7">
        <f t="shared" si="47"/>
        <v>300.02999999999997</v>
      </c>
      <c r="M89" s="2"/>
      <c r="N89" s="6">
        <f t="shared" si="48"/>
        <v>-1.0017696160267111</v>
      </c>
      <c r="O89" s="11"/>
      <c r="P89" s="7">
        <v>0.53</v>
      </c>
      <c r="Q89" s="2"/>
      <c r="R89" s="6">
        <f t="shared" si="49"/>
        <v>2.7180073432763377E-7</v>
      </c>
      <c r="S89" s="2"/>
      <c r="T89" s="7">
        <v>0.5</v>
      </c>
      <c r="U89" s="2"/>
      <c r="V89" s="6">
        <f t="shared" si="50"/>
        <v>1.9524330150300017E-7</v>
      </c>
      <c r="W89" s="2"/>
      <c r="X89" s="7">
        <f t="shared" si="51"/>
        <v>3.0000000000000027E-2</v>
      </c>
      <c r="Y89" s="2"/>
      <c r="Z89" s="6">
        <f t="shared" si="52"/>
        <v>6.0000000000000053E-2</v>
      </c>
    </row>
    <row r="90" spans="1:26" s="29" customFormat="1" outlineLevel="1" collapsed="1" x14ac:dyDescent="0.3">
      <c r="A90" s="28"/>
      <c r="B90" s="14" t="str">
        <f>CONCATENATE("     ","General                                           ")</f>
        <v xml:space="preserve">     General                                           </v>
      </c>
      <c r="C90" s="14"/>
      <c r="D90" s="1">
        <f>SUM(OSRRefD22_7x_0)</f>
        <v>0</v>
      </c>
      <c r="E90" s="1"/>
      <c r="F90" s="5">
        <f t="shared" ref="F90:F97" si="53">IF(D$12=0,0,D90/D$12)</f>
        <v>0</v>
      </c>
      <c r="G90" s="1"/>
      <c r="H90" s="1">
        <f>SUM(OSRRefH22_7x_0)</f>
        <v>4.63</v>
      </c>
      <c r="I90" s="1"/>
      <c r="J90" s="5">
        <f t="shared" ref="J90:J97" si="54">IF(H$12=0,0,H90/H$12)</f>
        <v>4.6817101913196539E-6</v>
      </c>
      <c r="K90" s="1"/>
      <c r="L90" s="1">
        <f t="shared" ref="L90:L97" si="55">+D90-H90</f>
        <v>-4.63</v>
      </c>
      <c r="M90" s="1"/>
      <c r="N90" s="5">
        <f t="shared" ref="N90:N97" si="56">IF(H90=0,0,L90/H90)</f>
        <v>-1</v>
      </c>
      <c r="O90" s="14"/>
      <c r="P90" s="1">
        <f>SUM(OSRRefP22_7x_0)</f>
        <v>0</v>
      </c>
      <c r="Q90" s="1"/>
      <c r="R90" s="5">
        <f t="shared" ref="R90:R97" si="57">IF(P$12=0,0,P90/P$12)</f>
        <v>0</v>
      </c>
      <c r="S90" s="1"/>
      <c r="T90" s="1">
        <f>SUM(OSRRefT22_7x_0)</f>
        <v>-1037.82</v>
      </c>
      <c r="U90" s="1"/>
      <c r="V90" s="5">
        <f t="shared" ref="V90:V97" si="58">IF(T$12=0,0,T90/T$12)</f>
        <v>-4.0525480633168726E-4</v>
      </c>
      <c r="W90" s="1"/>
      <c r="X90" s="1">
        <f t="shared" ref="X90:X97" si="59">+P90-T90</f>
        <v>1037.82</v>
      </c>
      <c r="Y90" s="1"/>
      <c r="Z90" s="5">
        <f t="shared" ref="Z90:Z97" si="60">IF(T90=0,0,X90/T90)</f>
        <v>-1</v>
      </c>
    </row>
    <row r="91" spans="1:26" s="24" customFormat="1" hidden="1" outlineLevel="2" x14ac:dyDescent="0.3">
      <c r="A91" s="27"/>
      <c r="B91" s="11" t="str">
        <f>CONCATENATE("          ", "6279", " - ", "GENERAL EXPENSE")</f>
        <v xml:space="preserve">          6279 - GENERAL EXPENSE</v>
      </c>
      <c r="C91" s="11"/>
      <c r="D91" s="7"/>
      <c r="E91" s="2"/>
      <c r="F91" s="6">
        <f t="shared" si="53"/>
        <v>0</v>
      </c>
      <c r="G91" s="2"/>
      <c r="H91" s="7">
        <v>4.63</v>
      </c>
      <c r="I91" s="2"/>
      <c r="J91" s="6">
        <f t="shared" si="54"/>
        <v>4.6817101913196539E-6</v>
      </c>
      <c r="K91" s="2"/>
      <c r="L91" s="7">
        <f t="shared" si="55"/>
        <v>-4.63</v>
      </c>
      <c r="M91" s="2"/>
      <c r="N91" s="6">
        <f t="shared" si="56"/>
        <v>-1</v>
      </c>
      <c r="O91" s="11"/>
      <c r="P91" s="7"/>
      <c r="Q91" s="2"/>
      <c r="R91" s="6">
        <f t="shared" si="57"/>
        <v>0</v>
      </c>
      <c r="S91" s="2"/>
      <c r="T91" s="7">
        <v>-1037.82</v>
      </c>
      <c r="U91" s="2"/>
      <c r="V91" s="6">
        <f t="shared" si="58"/>
        <v>-4.0525480633168726E-4</v>
      </c>
      <c r="W91" s="2"/>
      <c r="X91" s="7">
        <f t="shared" si="59"/>
        <v>1037.82</v>
      </c>
      <c r="Y91" s="2"/>
      <c r="Z91" s="6">
        <f t="shared" si="60"/>
        <v>-1</v>
      </c>
    </row>
    <row r="92" spans="1:26" s="29" customFormat="1" outlineLevel="1" collapsed="1" x14ac:dyDescent="0.3">
      <c r="A92" s="28"/>
      <c r="B92" s="14" t="str">
        <f>CONCATENATE("     ","Inventory Adjustment                              ")</f>
        <v xml:space="preserve">     Inventory Adjustment                              </v>
      </c>
      <c r="C92" s="14"/>
      <c r="D92" s="1">
        <f>SUM(OSRRefD22_8x_0)</f>
        <v>1000</v>
      </c>
      <c r="E92" s="1"/>
      <c r="F92" s="5">
        <f t="shared" si="53"/>
        <v>1.817031901283855E-3</v>
      </c>
      <c r="G92" s="1"/>
      <c r="H92" s="1">
        <f>SUM(OSRRefH22_8x_0)</f>
        <v>1000</v>
      </c>
      <c r="I92" s="1"/>
      <c r="J92" s="5">
        <f t="shared" si="54"/>
        <v>1.0111685078444178E-3</v>
      </c>
      <c r="K92" s="1"/>
      <c r="L92" s="1">
        <f t="shared" si="55"/>
        <v>0</v>
      </c>
      <c r="M92" s="1"/>
      <c r="N92" s="5">
        <f t="shared" si="56"/>
        <v>0</v>
      </c>
      <c r="O92" s="14"/>
      <c r="P92" s="1">
        <f>SUM(OSRRefP22_8x_0)</f>
        <v>11000</v>
      </c>
      <c r="Q92" s="1"/>
      <c r="R92" s="5">
        <f t="shared" si="57"/>
        <v>5.641147316233908E-3</v>
      </c>
      <c r="S92" s="1"/>
      <c r="T92" s="1">
        <f>SUM(OSRRefT22_8x_0)</f>
        <v>12000</v>
      </c>
      <c r="U92" s="1"/>
      <c r="V92" s="5">
        <f t="shared" si="58"/>
        <v>4.6858392360720038E-3</v>
      </c>
      <c r="W92" s="1"/>
      <c r="X92" s="1">
        <f t="shared" si="59"/>
        <v>-1000</v>
      </c>
      <c r="Y92" s="1"/>
      <c r="Z92" s="5">
        <f t="shared" si="60"/>
        <v>-8.3333333333333329E-2</v>
      </c>
    </row>
    <row r="93" spans="1:26" s="24" customFormat="1" hidden="1" outlineLevel="2" x14ac:dyDescent="0.3">
      <c r="A93" s="27"/>
      <c r="B93" s="11" t="str">
        <f>CONCATENATE("          ", "6408", " - ", "INVENTORY ADJUSTMENT")</f>
        <v xml:space="preserve">          6408 - INVENTORY ADJUSTMENT</v>
      </c>
      <c r="C93" s="11"/>
      <c r="D93" s="7">
        <v>1000</v>
      </c>
      <c r="E93" s="2"/>
      <c r="F93" s="6">
        <f t="shared" si="53"/>
        <v>1.817031901283855E-3</v>
      </c>
      <c r="G93" s="2"/>
      <c r="H93" s="7">
        <v>1000</v>
      </c>
      <c r="I93" s="2"/>
      <c r="J93" s="6">
        <f t="shared" si="54"/>
        <v>1.0111685078444178E-3</v>
      </c>
      <c r="K93" s="2"/>
      <c r="L93" s="7">
        <f t="shared" si="55"/>
        <v>0</v>
      </c>
      <c r="M93" s="2"/>
      <c r="N93" s="6">
        <f t="shared" si="56"/>
        <v>0</v>
      </c>
      <c r="O93" s="11"/>
      <c r="P93" s="7">
        <v>11000</v>
      </c>
      <c r="Q93" s="2"/>
      <c r="R93" s="6">
        <f t="shared" si="57"/>
        <v>5.641147316233908E-3</v>
      </c>
      <c r="S93" s="2"/>
      <c r="T93" s="7">
        <v>12000</v>
      </c>
      <c r="U93" s="2"/>
      <c r="V93" s="6">
        <f t="shared" si="58"/>
        <v>4.6858392360720038E-3</v>
      </c>
      <c r="W93" s="2"/>
      <c r="X93" s="7">
        <f t="shared" si="59"/>
        <v>-1000</v>
      </c>
      <c r="Y93" s="2"/>
      <c r="Z93" s="6">
        <f t="shared" si="60"/>
        <v>-8.3333333333333329E-2</v>
      </c>
    </row>
    <row r="94" spans="1:26" s="29" customFormat="1" outlineLevel="1" collapsed="1" x14ac:dyDescent="0.3">
      <c r="A94" s="28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SUM(OSRRefD22_9x_0)</f>
        <v>9.94</v>
      </c>
      <c r="E94" s="1"/>
      <c r="F94" s="5">
        <f t="shared" si="53"/>
        <v>1.8061297098761519E-5</v>
      </c>
      <c r="G94" s="1"/>
      <c r="H94" s="1">
        <f>SUM(OSRRefH22_9x_0)</f>
        <v>17.91</v>
      </c>
      <c r="I94" s="1"/>
      <c r="J94" s="5">
        <f t="shared" si="54"/>
        <v>1.8110027975493522E-5</v>
      </c>
      <c r="K94" s="1"/>
      <c r="L94" s="1">
        <f t="shared" si="55"/>
        <v>-7.9700000000000006</v>
      </c>
      <c r="M94" s="1"/>
      <c r="N94" s="5">
        <f t="shared" si="56"/>
        <v>-0.44500279173646012</v>
      </c>
      <c r="O94" s="14"/>
      <c r="P94" s="1">
        <f>SUM(OSRRefP22_9x_0)</f>
        <v>5879</v>
      </c>
      <c r="Q94" s="1"/>
      <c r="R94" s="5">
        <f t="shared" si="57"/>
        <v>3.0149368247399224E-3</v>
      </c>
      <c r="S94" s="1"/>
      <c r="T94" s="1">
        <f>SUM(OSRRefT22_9x_0)</f>
        <v>167.38</v>
      </c>
      <c r="U94" s="1"/>
      <c r="V94" s="5">
        <f t="shared" si="58"/>
        <v>6.535964761114434E-5</v>
      </c>
      <c r="W94" s="1"/>
      <c r="X94" s="1">
        <f t="shared" si="59"/>
        <v>5711.62</v>
      </c>
      <c r="Y94" s="1"/>
      <c r="Z94" s="5">
        <f t="shared" si="60"/>
        <v>34.123670689449156</v>
      </c>
    </row>
    <row r="95" spans="1:26" s="24" customFormat="1" hidden="1" outlineLevel="2" x14ac:dyDescent="0.3">
      <c r="A95" s="27"/>
      <c r="B95" s="11" t="str">
        <f>CONCATENATE("          ", "6371", " - ", "COMPUTER SOFTWARE MAINTENANCE")</f>
        <v xml:space="preserve">          6371 - COMPUTER SOFTWARE MAINTENANCE</v>
      </c>
      <c r="C95" s="11"/>
      <c r="D95" s="7"/>
      <c r="E95" s="2"/>
      <c r="F95" s="6">
        <f t="shared" si="53"/>
        <v>0</v>
      </c>
      <c r="G95" s="2"/>
      <c r="H95" s="7"/>
      <c r="I95" s="2"/>
      <c r="J95" s="6">
        <f t="shared" si="54"/>
        <v>0</v>
      </c>
      <c r="K95" s="2"/>
      <c r="L95" s="7">
        <f t="shared" si="55"/>
        <v>0</v>
      </c>
      <c r="M95" s="2"/>
      <c r="N95" s="6">
        <f t="shared" si="56"/>
        <v>0</v>
      </c>
      <c r="O95" s="11"/>
      <c r="P95" s="7">
        <v>5775</v>
      </c>
      <c r="Q95" s="2"/>
      <c r="R95" s="6">
        <f t="shared" si="57"/>
        <v>2.9616023410228018E-3</v>
      </c>
      <c r="S95" s="2"/>
      <c r="T95" s="7"/>
      <c r="U95" s="2"/>
      <c r="V95" s="6">
        <f t="shared" si="58"/>
        <v>0</v>
      </c>
      <c r="W95" s="2"/>
      <c r="X95" s="7">
        <f t="shared" si="59"/>
        <v>5775</v>
      </c>
      <c r="Y95" s="2"/>
      <c r="Z95" s="6">
        <f t="shared" si="60"/>
        <v>0</v>
      </c>
    </row>
    <row r="96" spans="1:26" s="24" customFormat="1" hidden="1" outlineLevel="2" x14ac:dyDescent="0.3">
      <c r="A96" s="27"/>
      <c r="B96" s="11" t="str">
        <f>CONCATENATE("          ", "6373", " - ", "MAINTENANCE CONTRACTS")</f>
        <v xml:space="preserve">          6373 - MAINTENANCE CONTRACTS</v>
      </c>
      <c r="C96" s="11"/>
      <c r="D96" s="7">
        <v>9.94</v>
      </c>
      <c r="E96" s="2"/>
      <c r="F96" s="6">
        <f t="shared" si="53"/>
        <v>1.8061297098761519E-5</v>
      </c>
      <c r="G96" s="2"/>
      <c r="H96" s="7">
        <v>17.91</v>
      </c>
      <c r="I96" s="2"/>
      <c r="J96" s="6">
        <f t="shared" si="54"/>
        <v>1.8110027975493522E-5</v>
      </c>
      <c r="K96" s="2"/>
      <c r="L96" s="7">
        <f t="shared" si="55"/>
        <v>-7.9700000000000006</v>
      </c>
      <c r="M96" s="2"/>
      <c r="N96" s="6">
        <f t="shared" si="56"/>
        <v>-0.44500279173646012</v>
      </c>
      <c r="O96" s="11"/>
      <c r="P96" s="7">
        <v>104</v>
      </c>
      <c r="Q96" s="2"/>
      <c r="R96" s="6">
        <f t="shared" si="57"/>
        <v>5.3334483717120586E-5</v>
      </c>
      <c r="S96" s="2"/>
      <c r="T96" s="7">
        <v>142.27000000000001</v>
      </c>
      <c r="U96" s="2"/>
      <c r="V96" s="6">
        <f t="shared" si="58"/>
        <v>5.5554529009663668E-5</v>
      </c>
      <c r="W96" s="2"/>
      <c r="X96" s="7">
        <f t="shared" si="59"/>
        <v>-38.27000000000001</v>
      </c>
      <c r="Y96" s="2"/>
      <c r="Z96" s="6">
        <f t="shared" si="60"/>
        <v>-0.26899557180009848</v>
      </c>
    </row>
    <row r="97" spans="1:26" s="24" customFormat="1" hidden="1" outlineLevel="2" x14ac:dyDescent="0.3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53"/>
        <v>0</v>
      </c>
      <c r="G97" s="2"/>
      <c r="H97" s="7"/>
      <c r="I97" s="2"/>
      <c r="J97" s="6">
        <f t="shared" si="54"/>
        <v>0</v>
      </c>
      <c r="K97" s="2"/>
      <c r="L97" s="7">
        <f t="shared" si="55"/>
        <v>0</v>
      </c>
      <c r="M97" s="2"/>
      <c r="N97" s="6">
        <f t="shared" si="56"/>
        <v>0</v>
      </c>
      <c r="O97" s="11"/>
      <c r="P97" s="7"/>
      <c r="Q97" s="2"/>
      <c r="R97" s="6">
        <f t="shared" si="57"/>
        <v>0</v>
      </c>
      <c r="S97" s="2"/>
      <c r="T97" s="7">
        <v>25.11</v>
      </c>
      <c r="U97" s="2"/>
      <c r="V97" s="6">
        <f t="shared" si="58"/>
        <v>9.8051186014806687E-6</v>
      </c>
      <c r="W97" s="2"/>
      <c r="X97" s="7">
        <f t="shared" si="59"/>
        <v>-25.11</v>
      </c>
      <c r="Y97" s="2"/>
      <c r="Z97" s="6">
        <f t="shared" si="60"/>
        <v>-1</v>
      </c>
    </row>
    <row r="98" spans="1:26" s="29" customFormat="1" outlineLevel="1" collapsed="1" x14ac:dyDescent="0.3">
      <c r="A98" s="28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SUM(OSRRefD22_10x_0)</f>
        <v>301.99</v>
      </c>
      <c r="E98" s="1"/>
      <c r="F98" s="5">
        <f t="shared" ref="F98:F100" si="61">IF(D$12=0,0,D98/D$12)</f>
        <v>5.4872546386871136E-4</v>
      </c>
      <c r="G98" s="1"/>
      <c r="H98" s="1">
        <f>SUM(OSRRefH22_10x_0)</f>
        <v>2180.9899999999998</v>
      </c>
      <c r="I98" s="1"/>
      <c r="J98" s="5">
        <f t="shared" ref="J98:J100" si="62">IF(H$12=0,0,H98/H$12)</f>
        <v>2.2053484039235962E-3</v>
      </c>
      <c r="K98" s="1"/>
      <c r="L98" s="1">
        <f t="shared" ref="L98:L100" si="63">+D98-H98</f>
        <v>-1878.9999999999998</v>
      </c>
      <c r="M98" s="1"/>
      <c r="N98" s="5">
        <f t="shared" ref="N98:N100" si="64">IF(H98=0,0,L98/H98)</f>
        <v>-0.86153535779623014</v>
      </c>
      <c r="O98" s="14"/>
      <c r="P98" s="1">
        <f>SUM(OSRRefP22_10x_0)</f>
        <v>1813.73</v>
      </c>
      <c r="Q98" s="1"/>
      <c r="R98" s="5">
        <f t="shared" ref="R98:R100" si="65">IF(P$12=0,0,P98/P$12)</f>
        <v>9.30138011079357E-4</v>
      </c>
      <c r="S98" s="1"/>
      <c r="T98" s="1">
        <f>SUM(OSRRefT22_10x_0)</f>
        <v>3912.43</v>
      </c>
      <c r="U98" s="1"/>
      <c r="V98" s="5">
        <f t="shared" ref="V98:V100" si="66">IF(T$12=0,0,T98/T$12)</f>
        <v>1.5277515001987658E-3</v>
      </c>
      <c r="W98" s="1"/>
      <c r="X98" s="1">
        <f t="shared" ref="X98:X100" si="67">+P98-T98</f>
        <v>-2098.6999999999998</v>
      </c>
      <c r="Y98" s="1"/>
      <c r="Z98" s="5">
        <f t="shared" ref="Z98:Z100" si="68">IF(T98=0,0,X98/T98)</f>
        <v>-0.53641854295156721</v>
      </c>
    </row>
    <row r="99" spans="1:26" s="24" customFormat="1" hidden="1" outlineLevel="2" x14ac:dyDescent="0.3">
      <c r="A99" s="27"/>
      <c r="B99" s="11" t="str">
        <f>CONCATENATE("          ", "6258", " - ", "MEMBERSHIP DUES")</f>
        <v xml:space="preserve">          6258 - MEMBERSHIP DUES</v>
      </c>
      <c r="C99" s="11"/>
      <c r="D99" s="7">
        <v>301.99</v>
      </c>
      <c r="E99" s="2"/>
      <c r="F99" s="6">
        <f t="shared" si="61"/>
        <v>5.4872546386871136E-4</v>
      </c>
      <c r="G99" s="2"/>
      <c r="H99" s="7">
        <v>328.91</v>
      </c>
      <c r="I99" s="2"/>
      <c r="J99" s="6">
        <f t="shared" si="62"/>
        <v>3.3258343391510747E-4</v>
      </c>
      <c r="K99" s="2"/>
      <c r="L99" s="7">
        <f t="shared" si="63"/>
        <v>-26.920000000000016</v>
      </c>
      <c r="M99" s="2"/>
      <c r="N99" s="6">
        <f t="shared" si="64"/>
        <v>-8.1846097716700664E-2</v>
      </c>
      <c r="O99" s="11"/>
      <c r="P99" s="7">
        <v>1813.73</v>
      </c>
      <c r="Q99" s="2"/>
      <c r="R99" s="6">
        <f t="shared" si="65"/>
        <v>9.30138011079357E-4</v>
      </c>
      <c r="S99" s="2"/>
      <c r="T99" s="7">
        <v>2060.35</v>
      </c>
      <c r="U99" s="2"/>
      <c r="V99" s="6">
        <f t="shared" si="66"/>
        <v>8.0453907250341273E-4</v>
      </c>
      <c r="W99" s="2"/>
      <c r="X99" s="7">
        <f t="shared" si="67"/>
        <v>-246.61999999999989</v>
      </c>
      <c r="Y99" s="2"/>
      <c r="Z99" s="6">
        <f t="shared" si="68"/>
        <v>-0.11969810954449482</v>
      </c>
    </row>
    <row r="100" spans="1:26" s="24" customFormat="1" hidden="1" outlineLevel="2" x14ac:dyDescent="0.3">
      <c r="A100" s="27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61"/>
        <v>0</v>
      </c>
      <c r="G100" s="2"/>
      <c r="H100" s="7">
        <v>1852.08</v>
      </c>
      <c r="I100" s="2"/>
      <c r="J100" s="6">
        <f t="shared" si="62"/>
        <v>1.872764970008489E-3</v>
      </c>
      <c r="K100" s="2"/>
      <c r="L100" s="7">
        <f t="shared" si="63"/>
        <v>-1852.08</v>
      </c>
      <c r="M100" s="2"/>
      <c r="N100" s="6">
        <f t="shared" si="64"/>
        <v>-1</v>
      </c>
      <c r="O100" s="11"/>
      <c r="P100" s="7"/>
      <c r="Q100" s="2"/>
      <c r="R100" s="6">
        <f t="shared" si="65"/>
        <v>0</v>
      </c>
      <c r="S100" s="2"/>
      <c r="T100" s="7">
        <v>1852.08</v>
      </c>
      <c r="U100" s="2"/>
      <c r="V100" s="6">
        <f t="shared" si="66"/>
        <v>7.2321242769535308E-4</v>
      </c>
      <c r="W100" s="2"/>
      <c r="X100" s="7">
        <f t="shared" si="67"/>
        <v>-1852.08</v>
      </c>
      <c r="Y100" s="2"/>
      <c r="Z100" s="6">
        <f t="shared" si="68"/>
        <v>-1</v>
      </c>
    </row>
    <row r="101" spans="1:26" s="29" customFormat="1" outlineLevel="1" collapsed="1" x14ac:dyDescent="0.3">
      <c r="A101" s="28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SUM(OSRRefD22_11x_0)</f>
        <v>45</v>
      </c>
      <c r="E101" s="1"/>
      <c r="F101" s="5">
        <f t="shared" ref="F101:F103" si="69">IF(D$12=0,0,D101/D$12)</f>
        <v>8.1766435557773472E-5</v>
      </c>
      <c r="G101" s="1"/>
      <c r="H101" s="1">
        <f>SUM(OSRRefH22_11x_0)</f>
        <v>2182.2599999999998</v>
      </c>
      <c r="I101" s="1"/>
      <c r="J101" s="5">
        <f t="shared" ref="J101:J103" si="70">IF(H$12=0,0,H101/H$12)</f>
        <v>2.2066325879285587E-3</v>
      </c>
      <c r="K101" s="1"/>
      <c r="L101" s="1">
        <f t="shared" ref="L101:L103" si="71">+D101-H101</f>
        <v>-2137.2599999999998</v>
      </c>
      <c r="M101" s="1"/>
      <c r="N101" s="5">
        <f t="shared" ref="N101:N103" si="72">IF(H101=0,0,L101/H101)</f>
        <v>-0.97937917571691735</v>
      </c>
      <c r="O101" s="14"/>
      <c r="P101" s="1">
        <f>SUM(OSRRefP22_11x_0)</f>
        <v>1120.77</v>
      </c>
      <c r="Q101" s="1"/>
      <c r="R101" s="5">
        <f t="shared" ref="R101:R103" si="73">IF(P$12=0,0,P101/P$12)</f>
        <v>5.7476624341958884E-4</v>
      </c>
      <c r="S101" s="1"/>
      <c r="T101" s="1">
        <f>SUM(OSRRefT22_11x_0)</f>
        <v>4251.8999999999996</v>
      </c>
      <c r="U101" s="1"/>
      <c r="V101" s="5">
        <f t="shared" ref="V101:V103" si="74">IF(T$12=0,0,T101/T$12)</f>
        <v>1.6603099873212126E-3</v>
      </c>
      <c r="W101" s="1"/>
      <c r="X101" s="1">
        <f t="shared" ref="X101:X103" si="75">+P101-T101</f>
        <v>-3131.1299999999997</v>
      </c>
      <c r="Y101" s="1"/>
      <c r="Z101" s="5">
        <f t="shared" ref="Z101:Z103" si="76">IF(T101=0,0,X101/T101)</f>
        <v>-0.73640725322796863</v>
      </c>
    </row>
    <row r="102" spans="1:26" s="24" customFormat="1" hidden="1" outlineLevel="2" x14ac:dyDescent="0.3">
      <c r="A102" s="27"/>
      <c r="B102" s="11" t="str">
        <f>CONCATENATE("          ", "6241", " - ", "OFFICE EXPENSE")</f>
        <v xml:space="preserve">          6241 - OFFICE EXPENSE</v>
      </c>
      <c r="C102" s="11"/>
      <c r="D102" s="7">
        <v>45</v>
      </c>
      <c r="E102" s="2"/>
      <c r="F102" s="6">
        <f t="shared" si="69"/>
        <v>8.1766435557773472E-5</v>
      </c>
      <c r="G102" s="2"/>
      <c r="H102" s="7">
        <v>85.24</v>
      </c>
      <c r="I102" s="2"/>
      <c r="J102" s="6">
        <f t="shared" si="70"/>
        <v>8.6192003608658163E-5</v>
      </c>
      <c r="K102" s="2"/>
      <c r="L102" s="7">
        <f t="shared" si="71"/>
        <v>-40.239999999999995</v>
      </c>
      <c r="M102" s="2"/>
      <c r="N102" s="6">
        <f t="shared" si="72"/>
        <v>-0.47207883622712338</v>
      </c>
      <c r="O102" s="11"/>
      <c r="P102" s="7">
        <v>1120.77</v>
      </c>
      <c r="Q102" s="2"/>
      <c r="R102" s="6">
        <f t="shared" si="73"/>
        <v>5.7476624341958884E-4</v>
      </c>
      <c r="S102" s="2"/>
      <c r="T102" s="7">
        <v>1209.5999999999999</v>
      </c>
      <c r="U102" s="2"/>
      <c r="V102" s="6">
        <f t="shared" si="74"/>
        <v>4.7233259499605796E-4</v>
      </c>
      <c r="W102" s="2"/>
      <c r="X102" s="7">
        <f t="shared" si="75"/>
        <v>-88.829999999999927</v>
      </c>
      <c r="Y102" s="2"/>
      <c r="Z102" s="6">
        <f t="shared" si="76"/>
        <v>-7.3437499999999947E-2</v>
      </c>
    </row>
    <row r="103" spans="1:26" s="24" customFormat="1" hidden="1" outlineLevel="2" x14ac:dyDescent="0.3">
      <c r="A103" s="27"/>
      <c r="B103" s="11" t="str">
        <f>CONCATENATE("          ", "6247", " - ", "STORE SUPPLIES")</f>
        <v xml:space="preserve">          6247 - STORE SUPPLIES</v>
      </c>
      <c r="C103" s="11"/>
      <c r="D103" s="7"/>
      <c r="E103" s="2"/>
      <c r="F103" s="6">
        <f t="shared" si="69"/>
        <v>0</v>
      </c>
      <c r="G103" s="2"/>
      <c r="H103" s="7">
        <v>2097.02</v>
      </c>
      <c r="I103" s="2"/>
      <c r="J103" s="6">
        <f t="shared" si="70"/>
        <v>2.1204405843199005E-3</v>
      </c>
      <c r="K103" s="2"/>
      <c r="L103" s="7">
        <f t="shared" si="71"/>
        <v>-2097.02</v>
      </c>
      <c r="M103" s="2"/>
      <c r="N103" s="6">
        <f t="shared" si="72"/>
        <v>-1</v>
      </c>
      <c r="O103" s="11"/>
      <c r="P103" s="7"/>
      <c r="Q103" s="2"/>
      <c r="R103" s="6">
        <f t="shared" si="73"/>
        <v>0</v>
      </c>
      <c r="S103" s="2"/>
      <c r="T103" s="7">
        <v>3042.3</v>
      </c>
      <c r="U103" s="2"/>
      <c r="V103" s="6">
        <f t="shared" si="74"/>
        <v>1.1879773923251548E-3</v>
      </c>
      <c r="W103" s="2"/>
      <c r="X103" s="7">
        <f t="shared" si="75"/>
        <v>-3042.3</v>
      </c>
      <c r="Y103" s="2"/>
      <c r="Z103" s="6">
        <f t="shared" si="76"/>
        <v>-1</v>
      </c>
    </row>
    <row r="104" spans="1:26" s="29" customFormat="1" outlineLevel="1" collapsed="1" x14ac:dyDescent="0.3">
      <c r="A104" s="28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SUM(OSRRefD22_12x_0)</f>
        <v>1011.65</v>
      </c>
      <c r="E104" s="1"/>
      <c r="F104" s="5">
        <f t="shared" ref="F104:F106" si="77">IF(D$12=0,0,D104/D$12)</f>
        <v>1.8382003229338118E-3</v>
      </c>
      <c r="G104" s="1"/>
      <c r="H104" s="1">
        <f>SUM(OSRRefH22_12x_0)</f>
        <v>1215.2</v>
      </c>
      <c r="I104" s="1"/>
      <c r="J104" s="5">
        <f t="shared" ref="J104:J106" si="78">IF(H$12=0,0,H104/H$12)</f>
        <v>1.2287719707325365E-3</v>
      </c>
      <c r="K104" s="1"/>
      <c r="L104" s="1">
        <f t="shared" ref="L104:L106" si="79">+D104-H104</f>
        <v>-203.55000000000007</v>
      </c>
      <c r="M104" s="1"/>
      <c r="N104" s="5">
        <f t="shared" ref="N104:N106" si="80">IF(H104=0,0,L104/H104)</f>
        <v>-0.16750329163923638</v>
      </c>
      <c r="O104" s="14"/>
      <c r="P104" s="1">
        <f>SUM(OSRRefP22_12x_0)</f>
        <v>4090.5</v>
      </c>
      <c r="Q104" s="1"/>
      <c r="R104" s="5">
        <f t="shared" ref="R104:R106" si="81">IF(P$12=0,0,P104/P$12)</f>
        <v>2.0977375542777094E-3</v>
      </c>
      <c r="S104" s="1"/>
      <c r="T104" s="1">
        <f>SUM(OSRRefT22_12x_0)</f>
        <v>6257.7</v>
      </c>
      <c r="U104" s="1"/>
      <c r="V104" s="5">
        <f t="shared" ref="V104:V106" si="82">IF(T$12=0,0,T104/T$12)</f>
        <v>2.4435480156306481E-3</v>
      </c>
      <c r="W104" s="1"/>
      <c r="X104" s="1">
        <f t="shared" ref="X104:X106" si="83">+P104-T104</f>
        <v>-2167.1999999999998</v>
      </c>
      <c r="Y104" s="1"/>
      <c r="Z104" s="5">
        <f t="shared" ref="Z104:Z106" si="84">IF(T104=0,0,X104/T104)</f>
        <v>-0.34632532719689341</v>
      </c>
    </row>
    <row r="105" spans="1:26" s="24" customFormat="1" hidden="1" outlineLevel="2" x14ac:dyDescent="0.3">
      <c r="A105" s="27"/>
      <c r="B105" s="11" t="str">
        <f>CONCATENATE("          ", "6303", " - ", "DATA PHONE LINES")</f>
        <v xml:space="preserve">          6303 - DATA PHONE LINES</v>
      </c>
      <c r="C105" s="11"/>
      <c r="D105" s="7"/>
      <c r="E105" s="2"/>
      <c r="F105" s="6">
        <f t="shared" si="77"/>
        <v>0</v>
      </c>
      <c r="G105" s="2"/>
      <c r="H105" s="7">
        <v>295</v>
      </c>
      <c r="I105" s="2"/>
      <c r="J105" s="6">
        <f t="shared" si="78"/>
        <v>2.9829470981410322E-4</v>
      </c>
      <c r="K105" s="2"/>
      <c r="L105" s="7">
        <f t="shared" si="79"/>
        <v>-295</v>
      </c>
      <c r="M105" s="2"/>
      <c r="N105" s="6">
        <f t="shared" si="80"/>
        <v>-1</v>
      </c>
      <c r="O105" s="11"/>
      <c r="P105" s="7">
        <v>295</v>
      </c>
      <c r="Q105" s="2"/>
      <c r="R105" s="6">
        <f t="shared" si="81"/>
        <v>1.5128531438990937E-4</v>
      </c>
      <c r="S105" s="2"/>
      <c r="T105" s="7">
        <v>2360</v>
      </c>
      <c r="U105" s="2"/>
      <c r="V105" s="6">
        <f t="shared" si="82"/>
        <v>9.2154838309416078E-4</v>
      </c>
      <c r="W105" s="2"/>
      <c r="X105" s="7">
        <f t="shared" si="83"/>
        <v>-2065</v>
      </c>
      <c r="Y105" s="2"/>
      <c r="Z105" s="6">
        <f t="shared" si="84"/>
        <v>-0.875</v>
      </c>
    </row>
    <row r="106" spans="1:26" s="24" customFormat="1" hidden="1" outlineLevel="2" x14ac:dyDescent="0.3">
      <c r="A106" s="27"/>
      <c r="B106" s="11" t="str">
        <f>CONCATENATE("          ", "6309", " - ", "TELEPHONE")</f>
        <v xml:space="preserve">          6309 - TELEPHONE</v>
      </c>
      <c r="C106" s="11"/>
      <c r="D106" s="7">
        <v>1011.65</v>
      </c>
      <c r="E106" s="2"/>
      <c r="F106" s="6">
        <f t="shared" si="77"/>
        <v>1.8382003229338118E-3</v>
      </c>
      <c r="G106" s="2"/>
      <c r="H106" s="7">
        <v>920.2</v>
      </c>
      <c r="I106" s="2"/>
      <c r="J106" s="6">
        <f t="shared" si="78"/>
        <v>9.3047726091843321E-4</v>
      </c>
      <c r="K106" s="2"/>
      <c r="L106" s="7">
        <f t="shared" si="79"/>
        <v>91.449999999999932</v>
      </c>
      <c r="M106" s="2"/>
      <c r="N106" s="6">
        <f t="shared" si="80"/>
        <v>9.9380569441425703E-2</v>
      </c>
      <c r="O106" s="11"/>
      <c r="P106" s="7">
        <v>3795.5</v>
      </c>
      <c r="Q106" s="2"/>
      <c r="R106" s="6">
        <f t="shared" si="81"/>
        <v>1.9464522398877999E-3</v>
      </c>
      <c r="S106" s="2"/>
      <c r="T106" s="7">
        <v>3897.7</v>
      </c>
      <c r="U106" s="2"/>
      <c r="V106" s="6">
        <f t="shared" si="82"/>
        <v>1.5219996325364874E-3</v>
      </c>
      <c r="W106" s="2"/>
      <c r="X106" s="7">
        <f t="shared" si="83"/>
        <v>-102.19999999999982</v>
      </c>
      <c r="Y106" s="2"/>
      <c r="Z106" s="6">
        <f t="shared" si="84"/>
        <v>-2.6220591630961805E-2</v>
      </c>
    </row>
    <row r="107" spans="1:26" s="29" customFormat="1" outlineLevel="1" collapsed="1" x14ac:dyDescent="0.3">
      <c r="A107" s="28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SUM(OSRRefD22_13x_0)</f>
        <v>0</v>
      </c>
      <c r="E107" s="1"/>
      <c r="F107" s="5">
        <f t="shared" ref="F107:F108" si="85">IF(D$12=0,0,D107/D$12)</f>
        <v>0</v>
      </c>
      <c r="G107" s="1"/>
      <c r="H107" s="1">
        <f>SUM(OSRRefH22_13x_0)</f>
        <v>0</v>
      </c>
      <c r="I107" s="1"/>
      <c r="J107" s="5">
        <f t="shared" ref="J107:J108" si="86">IF(H$12=0,0,H107/H$12)</f>
        <v>0</v>
      </c>
      <c r="K107" s="1"/>
      <c r="L107" s="1">
        <f t="shared" ref="L107:L108" si="87">+D107-H107</f>
        <v>0</v>
      </c>
      <c r="M107" s="1"/>
      <c r="N107" s="5">
        <f t="shared" ref="N107:N108" si="88">IF(H107=0,0,L107/H107)</f>
        <v>0</v>
      </c>
      <c r="O107" s="14"/>
      <c r="P107" s="1">
        <f>SUM(OSRRefP22_13x_0)</f>
        <v>0</v>
      </c>
      <c r="Q107" s="1"/>
      <c r="R107" s="5">
        <f t="shared" ref="R107:R108" si="89">IF(P$12=0,0,P107/P$12)</f>
        <v>0</v>
      </c>
      <c r="S107" s="1"/>
      <c r="T107" s="1">
        <f>SUM(OSRRefT22_13x_0)</f>
        <v>0.16</v>
      </c>
      <c r="U107" s="1"/>
      <c r="V107" s="5">
        <f t="shared" ref="V107:V108" si="90">IF(T$12=0,0,T107/T$12)</f>
        <v>6.2477856480960057E-8</v>
      </c>
      <c r="W107" s="1"/>
      <c r="X107" s="1">
        <f t="shared" ref="X107:X108" si="91">+P107-T107</f>
        <v>-0.16</v>
      </c>
      <c r="Y107" s="1"/>
      <c r="Z107" s="5">
        <f t="shared" ref="Z107:Z108" si="92">IF(T107=0,0,X107/T107)</f>
        <v>-1</v>
      </c>
    </row>
    <row r="108" spans="1:26" s="24" customFormat="1" hidden="1" outlineLevel="2" x14ac:dyDescent="0.3">
      <c r="A108" s="27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5"/>
        <v>0</v>
      </c>
      <c r="G108" s="2"/>
      <c r="H108" s="7"/>
      <c r="I108" s="2"/>
      <c r="J108" s="6">
        <f t="shared" si="86"/>
        <v>0</v>
      </c>
      <c r="K108" s="2"/>
      <c r="L108" s="7">
        <f t="shared" si="87"/>
        <v>0</v>
      </c>
      <c r="M108" s="2"/>
      <c r="N108" s="6">
        <f t="shared" si="88"/>
        <v>0</v>
      </c>
      <c r="O108" s="11"/>
      <c r="P108" s="7"/>
      <c r="Q108" s="2"/>
      <c r="R108" s="6">
        <f t="shared" si="89"/>
        <v>0</v>
      </c>
      <c r="S108" s="2"/>
      <c r="T108" s="7">
        <v>0.16</v>
      </c>
      <c r="U108" s="2"/>
      <c r="V108" s="6">
        <f t="shared" si="90"/>
        <v>6.2477856480960057E-8</v>
      </c>
      <c r="W108" s="2"/>
      <c r="X108" s="7">
        <f t="shared" si="91"/>
        <v>-0.16</v>
      </c>
      <c r="Y108" s="2"/>
      <c r="Z108" s="6">
        <f t="shared" si="92"/>
        <v>-1</v>
      </c>
    </row>
    <row r="109" spans="1:26" s="52" customFormat="1" x14ac:dyDescent="0.3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3">
      <c r="A110" s="10"/>
      <c r="B110" s="26" t="s">
        <v>292</v>
      </c>
      <c r="C110" s="10"/>
      <c r="D110" s="4">
        <f>SUM(OSRRefD25x_0)</f>
        <v>3325.2000000000003</v>
      </c>
      <c r="E110" s="4"/>
      <c r="F110" s="12">
        <f t="shared" ref="F110:F113" si="93">IF(D$12=0,0,D110/D$12)</f>
        <v>6.0419944781490752E-3</v>
      </c>
      <c r="G110" s="4"/>
      <c r="H110" s="4">
        <f>SUM(OSRRefH25x_0)</f>
        <v>7055.88</v>
      </c>
      <c r="I110" s="4"/>
      <c r="J110" s="12">
        <f t="shared" ref="J110:J113" si="94">IF(H$12=0,0,H110/H$12)</f>
        <v>7.1346836511292696E-3</v>
      </c>
      <c r="K110" s="4"/>
      <c r="L110" s="4">
        <f t="shared" ref="L110:L113" si="95">+D110-H110</f>
        <v>-3730.68</v>
      </c>
      <c r="M110" s="4"/>
      <c r="N110" s="12">
        <f t="shared" ref="N110:N113" si="96">IF(H110=0,0,L110/H110)</f>
        <v>-0.52873348186193636</v>
      </c>
      <c r="O110" s="10"/>
      <c r="P110" s="4">
        <f>SUM(OSRRefP25x_0)</f>
        <v>194228.91999999998</v>
      </c>
      <c r="Q110" s="4"/>
      <c r="R110" s="12">
        <f t="shared" ref="R110:R113" si="97">IF(P$12=0,0,P110/P$12)</f>
        <v>9.9606722799364583E-2</v>
      </c>
      <c r="S110" s="4"/>
      <c r="T110" s="4">
        <f>SUM(OSRRefT25x_0)</f>
        <v>180821.69000000003</v>
      </c>
      <c r="U110" s="4"/>
      <c r="V110" s="12">
        <f t="shared" ref="V110:V113" si="98">IF(T$12=0,0,T110/T$12)</f>
        <v>7.0608447477904068E-2</v>
      </c>
      <c r="W110" s="4"/>
      <c r="X110" s="4">
        <f t="shared" ref="X110:X113" si="99">+P110-T110</f>
        <v>13407.229999999952</v>
      </c>
      <c r="Y110" s="4"/>
      <c r="Z110" s="12">
        <f t="shared" ref="Z110:Z113" si="100">IF(T110=0,0,X110/T110)</f>
        <v>7.414613810986917E-2</v>
      </c>
    </row>
    <row r="111" spans="1:26" s="24" customFormat="1" hidden="1" outlineLevel="1" x14ac:dyDescent="0.3">
      <c r="A111" s="44"/>
      <c r="B111" s="11" t="str">
        <f>CONCATENATE("          ", "9150", " - ", "MISC. INCOME")</f>
        <v xml:space="preserve">          9150 - MISC. INCOME</v>
      </c>
      <c r="C111" s="11"/>
      <c r="D111" s="2">
        <f>--0.01</f>
        <v>0.01</v>
      </c>
      <c r="E111" s="2"/>
      <c r="F111" s="19">
        <f t="shared" si="93"/>
        <v>1.817031901283855E-8</v>
      </c>
      <c r="G111" s="2"/>
      <c r="H111" s="2">
        <f>--4937.55</f>
        <v>4937.55</v>
      </c>
      <c r="I111" s="2"/>
      <c r="J111" s="19">
        <f t="shared" si="94"/>
        <v>4.9926950659072043E-3</v>
      </c>
      <c r="K111" s="2"/>
      <c r="L111" s="2">
        <f t="shared" si="95"/>
        <v>-4937.54</v>
      </c>
      <c r="M111" s="2"/>
      <c r="N111" s="19">
        <f t="shared" si="96"/>
        <v>-0.9999979747040536</v>
      </c>
      <c r="O111" s="11"/>
      <c r="P111" s="2">
        <f>--19313.27</f>
        <v>19313.27</v>
      </c>
      <c r="Q111" s="2"/>
      <c r="R111" s="19">
        <f t="shared" si="97"/>
        <v>9.9044546571091692E-3</v>
      </c>
      <c r="S111" s="2"/>
      <c r="T111" s="2">
        <f>--28332.04</f>
        <v>28332.04</v>
      </c>
      <c r="U111" s="2"/>
      <c r="V111" s="19">
        <f t="shared" si="98"/>
        <v>1.1063282055830122E-2</v>
      </c>
      <c r="W111" s="2"/>
      <c r="X111" s="2">
        <f t="shared" si="99"/>
        <v>-9018.77</v>
      </c>
      <c r="Y111" s="2"/>
      <c r="Z111" s="19">
        <f t="shared" si="100"/>
        <v>-0.31832405996885504</v>
      </c>
    </row>
    <row r="112" spans="1:26" s="24" customFormat="1" hidden="1" outlineLevel="1" x14ac:dyDescent="0.3">
      <c r="A112" s="44"/>
      <c r="B112" s="11" t="str">
        <f>CONCATENATE("          ", "9151", " - ", "MISC. INCOME")</f>
        <v xml:space="preserve">          9151 - MISC. INCOME</v>
      </c>
      <c r="C112" s="11"/>
      <c r="D112" s="2">
        <f>--2958.75</f>
        <v>2958.75</v>
      </c>
      <c r="E112" s="2"/>
      <c r="F112" s="19">
        <f t="shared" si="93"/>
        <v>5.3761431379236056E-3</v>
      </c>
      <c r="G112" s="2"/>
      <c r="H112" s="2">
        <f>--1972</f>
        <v>1972</v>
      </c>
      <c r="I112" s="2"/>
      <c r="J112" s="19">
        <f t="shared" si="94"/>
        <v>1.9940242974691917E-3</v>
      </c>
      <c r="K112" s="2"/>
      <c r="L112" s="2">
        <f t="shared" si="95"/>
        <v>986.75</v>
      </c>
      <c r="M112" s="2"/>
      <c r="N112" s="19">
        <f t="shared" si="96"/>
        <v>0.50038032454361059</v>
      </c>
      <c r="O112" s="11"/>
      <c r="P112" s="2">
        <f>--171422.11</f>
        <v>171422.11</v>
      </c>
      <c r="Q112" s="2"/>
      <c r="R112" s="19">
        <f t="shared" si="97"/>
        <v>8.791067052451397E-2</v>
      </c>
      <c r="S112" s="2"/>
      <c r="T112" s="2">
        <f>--149257.39</f>
        <v>149257.39000000001</v>
      </c>
      <c r="U112" s="2"/>
      <c r="V112" s="19">
        <f t="shared" si="98"/>
        <v>5.8283011194641771E-2</v>
      </c>
      <c r="W112" s="2"/>
      <c r="X112" s="2">
        <f t="shared" si="99"/>
        <v>22164.719999999972</v>
      </c>
      <c r="Y112" s="2"/>
      <c r="Z112" s="19">
        <f t="shared" si="100"/>
        <v>0.14849998381989643</v>
      </c>
    </row>
    <row r="113" spans="1:26" s="24" customFormat="1" hidden="1" outlineLevel="1" x14ac:dyDescent="0.3">
      <c r="A113" s="44"/>
      <c r="B113" s="11" t="str">
        <f>CONCATENATE("          ", "9152", " - ", "MISC. INCOME")</f>
        <v xml:space="preserve">          9152 - MISC. INCOME</v>
      </c>
      <c r="C113" s="11"/>
      <c r="D113" s="2">
        <f>--366.44</f>
        <v>366.44</v>
      </c>
      <c r="E113" s="2"/>
      <c r="F113" s="19">
        <f t="shared" si="93"/>
        <v>6.6583316990645577E-4</v>
      </c>
      <c r="G113" s="2"/>
      <c r="H113" s="2">
        <f>--146.33</f>
        <v>146.33000000000001</v>
      </c>
      <c r="I113" s="2"/>
      <c r="J113" s="19">
        <f t="shared" si="94"/>
        <v>1.4796428775287366E-4</v>
      </c>
      <c r="K113" s="2"/>
      <c r="L113" s="2">
        <f t="shared" si="95"/>
        <v>220.10999999999999</v>
      </c>
      <c r="M113" s="2"/>
      <c r="N113" s="19">
        <f t="shared" si="96"/>
        <v>1.5042028292216221</v>
      </c>
      <c r="O113" s="11"/>
      <c r="P113" s="2">
        <f>--3493.54</f>
        <v>3493.54</v>
      </c>
      <c r="Q113" s="2"/>
      <c r="R113" s="19">
        <f t="shared" si="97"/>
        <v>1.791597617741437E-3</v>
      </c>
      <c r="S113" s="2"/>
      <c r="T113" s="2">
        <f>--3232.26</f>
        <v>3232.26</v>
      </c>
      <c r="U113" s="2"/>
      <c r="V113" s="19">
        <f t="shared" si="98"/>
        <v>1.2621542274321748E-3</v>
      </c>
      <c r="W113" s="2"/>
      <c r="X113" s="2">
        <f t="shared" si="99"/>
        <v>261.27999999999975</v>
      </c>
      <c r="Y113" s="2"/>
      <c r="Z113" s="19">
        <f t="shared" si="100"/>
        <v>8.0835081336278564E-2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10"/>
      <c r="B115" s="25" t="s">
        <v>276</v>
      </c>
      <c r="C115" s="25"/>
      <c r="D115" s="21">
        <f>+D57-D59+D110</f>
        <v>135460.41999999993</v>
      </c>
      <c r="E115" s="13"/>
      <c r="F115" s="22">
        <f>IF(D$12=0,0,D115/D$12)</f>
        <v>0.2461359045013094</v>
      </c>
      <c r="G115" s="13"/>
      <c r="H115" s="21">
        <f>+H57-H59+H110</f>
        <v>250252.83000000005</v>
      </c>
      <c r="I115" s="13"/>
      <c r="J115" s="22">
        <f>IF(H$12=0,0,H115/H$12)</f>
        <v>0.25304778069494277</v>
      </c>
      <c r="K115" s="15"/>
      <c r="L115" s="21">
        <f>+D115-H115</f>
        <v>-114792.41000000012</v>
      </c>
      <c r="M115" s="15"/>
      <c r="N115" s="22">
        <f>IF(H115=0,0,L115/H115)</f>
        <v>-0.45870574170929496</v>
      </c>
      <c r="O115" s="26"/>
      <c r="P115" s="21">
        <f>+P57-P59+P110</f>
        <v>305584.35000000015</v>
      </c>
      <c r="Q115" s="13"/>
      <c r="R115" s="22">
        <f>IF(P$12=0,0,P115/P$12)</f>
        <v>0.15671330326232583</v>
      </c>
      <c r="S115" s="13"/>
      <c r="T115" s="21">
        <f>+T57-T59+T110</f>
        <v>609162.44999999972</v>
      </c>
      <c r="U115" s="13"/>
      <c r="V115" s="22">
        <f>IF(T$12=0,0,T115/T$12)</f>
        <v>0.23786977577931243</v>
      </c>
      <c r="W115" s="15"/>
      <c r="X115" s="21">
        <f>+P115-T115</f>
        <v>-303578.09999999957</v>
      </c>
      <c r="Y115" s="15"/>
      <c r="Z115" s="22">
        <f>IF(T115=0,0,X115/T115)</f>
        <v>-0.4983532717750408</v>
      </c>
    </row>
    <row r="116" spans="1:26" x14ac:dyDescent="0.3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">
      <c r="A117" s="51"/>
      <c r="B117" s="10" t="s">
        <v>127</v>
      </c>
      <c r="C117" s="10"/>
      <c r="D117" s="4">
        <v>89638.67</v>
      </c>
      <c r="E117" s="4"/>
      <c r="F117" s="12">
        <f>IF(D$12=0,0,D117/D$12)</f>
        <v>0.16287632297865604</v>
      </c>
      <c r="G117" s="4"/>
      <c r="H117" s="4">
        <v>179764.56</v>
      </c>
      <c r="I117" s="4"/>
      <c r="J117" s="12">
        <f>IF(H$12=0,0,H117/H$12)</f>
        <v>0.18177226189850829</v>
      </c>
      <c r="K117" s="4"/>
      <c r="L117" s="4">
        <f>+D117-H117</f>
        <v>-90125.89</v>
      </c>
      <c r="M117" s="4"/>
      <c r="N117" s="12">
        <f>IF(H117=0,0,L117/H117)</f>
        <v>-0.50135516144005243</v>
      </c>
      <c r="O117" s="10"/>
      <c r="P117" s="4">
        <v>258110.83</v>
      </c>
      <c r="Q117" s="4"/>
      <c r="R117" s="12">
        <f>IF(P$12=0,0,P117/P$12)</f>
        <v>0.13236738326776423</v>
      </c>
      <c r="S117" s="4"/>
      <c r="T117" s="4">
        <v>464872.43</v>
      </c>
      <c r="U117" s="4"/>
      <c r="V117" s="12">
        <f>IF(T$12=0,0,T117/T$12)</f>
        <v>0.18152645602184467</v>
      </c>
      <c r="W117" s="4"/>
      <c r="X117" s="4">
        <f>+P117-T117</f>
        <v>-206761.60000000001</v>
      </c>
      <c r="Y117" s="4"/>
      <c r="Z117" s="12">
        <f>IF(T117=0,0,X117/T117)</f>
        <v>-0.44477062234041287</v>
      </c>
    </row>
    <row r="118" spans="1:26" x14ac:dyDescent="0.3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5" t="s">
        <v>125</v>
      </c>
      <c r="C119" s="25"/>
      <c r="D119" s="36">
        <f>+D115-D117</f>
        <v>45821.749999999927</v>
      </c>
      <c r="E119" s="13"/>
      <c r="F119" s="31">
        <f>IF(D$12=0,0,D119/D$12)</f>
        <v>8.325958152265335E-2</v>
      </c>
      <c r="G119" s="13"/>
      <c r="H119" s="36">
        <f>+H115-H117</f>
        <v>70488.270000000048</v>
      </c>
      <c r="I119" s="13"/>
      <c r="J119" s="31">
        <f>IF(H$12=0,0,H119/H$12)</f>
        <v>7.1275518796434484E-2</v>
      </c>
      <c r="K119" s="15"/>
      <c r="L119" s="36">
        <f>D119-H119</f>
        <v>-24666.52000000012</v>
      </c>
      <c r="M119" s="15"/>
      <c r="N119" s="31">
        <f>IF(H119=0,0,L119/H119)</f>
        <v>-0.34993794002888856</v>
      </c>
      <c r="O119" s="26"/>
      <c r="P119" s="36">
        <f>+P115-P117</f>
        <v>47473.520000000164</v>
      </c>
      <c r="Q119" s="13"/>
      <c r="R119" s="31">
        <f>IF(P$12=0,0,P119/P$12)</f>
        <v>2.4345919994561607E-2</v>
      </c>
      <c r="S119" s="13"/>
      <c r="T119" s="36">
        <f>+T115-T117</f>
        <v>144290.01999999973</v>
      </c>
      <c r="U119" s="13"/>
      <c r="V119" s="31">
        <f>IF(T$12=0,0,T119/T$12)</f>
        <v>5.6343319757467744E-2</v>
      </c>
      <c r="W119" s="15"/>
      <c r="X119" s="36">
        <f>P119-T119</f>
        <v>-96816.499999999563</v>
      </c>
      <c r="Y119" s="15"/>
      <c r="Z119" s="31">
        <f>IF(T119=0,0,X119/T119)</f>
        <v>-0.67098542227660474</v>
      </c>
    </row>
    <row r="120" spans="1:26" ht="15" thickTop="1" x14ac:dyDescent="0.3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3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" thickBot="1" x14ac:dyDescent="0.35">
      <c r="A122" s="10"/>
      <c r="B122" s="25" t="s">
        <v>293</v>
      </c>
      <c r="C122" s="25"/>
      <c r="D122" s="35">
        <f>SUM(D119:D121)</f>
        <v>45821.749999999927</v>
      </c>
      <c r="E122" s="13"/>
      <c r="F122" s="32">
        <f>IF(D$12=0,0,D122/D$12)</f>
        <v>8.325958152265335E-2</v>
      </c>
      <c r="G122" s="13"/>
      <c r="H122" s="35">
        <f>SUM(H119:H121)</f>
        <v>70488.270000000048</v>
      </c>
      <c r="I122" s="13"/>
      <c r="J122" s="32">
        <f>IF(H$12=0,0,H122/H$12)</f>
        <v>7.1275518796434484E-2</v>
      </c>
      <c r="K122" s="15"/>
      <c r="L122" s="35">
        <f>+D122-H122</f>
        <v>-24666.52000000012</v>
      </c>
      <c r="M122" s="15"/>
      <c r="N122" s="32">
        <f>IF(H122=0,0,L122/H122)</f>
        <v>-0.34993794002888856</v>
      </c>
      <c r="O122" s="26"/>
      <c r="P122" s="35">
        <f>SUM(P119:P121)</f>
        <v>47473.520000000164</v>
      </c>
      <c r="Q122" s="13"/>
      <c r="R122" s="32">
        <f>IF(P$12=0,0,P122/P$12)</f>
        <v>2.4345919994561607E-2</v>
      </c>
      <c r="S122" s="13"/>
      <c r="T122" s="35">
        <f>SUM(T119:T121)</f>
        <v>144290.01999999973</v>
      </c>
      <c r="U122" s="13"/>
      <c r="V122" s="32">
        <f>IF(T$12=0,0,T122/T$12)</f>
        <v>5.6343319757467744E-2</v>
      </c>
      <c r="W122" s="15"/>
      <c r="X122" s="35">
        <f>+P122-T122</f>
        <v>-96816.499999999563</v>
      </c>
      <c r="Y122" s="15"/>
      <c r="Z122" s="32">
        <f>IF(T122=0,0,X122/T122)</f>
        <v>-0.67098542227660474</v>
      </c>
    </row>
    <row r="123" spans="1:26" ht="15" thickTop="1" x14ac:dyDescent="0.3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A124" s="9"/>
      <c r="B124" s="54">
        <v>44604.02842534722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3">
      <c r="A125" s="9"/>
      <c r="B125" s="53" t="s">
        <v>56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3">
      <c r="A126" s="9"/>
      <c r="B126" s="59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3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","311", " - ", "Textbooks")</f>
        <v>Department 311 - Textbooks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482806.89</v>
      </c>
      <c r="E12" s="4"/>
      <c r="F12" s="12"/>
      <c r="G12" s="4"/>
      <c r="H12" s="4">
        <f>SUM(OSRRefH13x_0)</f>
        <v>707881.4800000001</v>
      </c>
      <c r="I12" s="4"/>
      <c r="J12" s="12"/>
      <c r="K12" s="4"/>
      <c r="L12" s="4">
        <f t="shared" ref="L12:L36" si="0">+D12-H12</f>
        <v>-225074.59000000008</v>
      </c>
      <c r="M12" s="4"/>
      <c r="N12" s="12">
        <f t="shared" ref="N12:N36" si="1">IF(H12=0,0,L12/H12)</f>
        <v>-0.31795518933480227</v>
      </c>
      <c r="O12" s="10"/>
      <c r="P12" s="4">
        <f>SUM(OSRRefP13x_0)</f>
        <v>1548518.92</v>
      </c>
      <c r="Q12" s="4"/>
      <c r="R12" s="12"/>
      <c r="S12" s="4"/>
      <c r="T12" s="4">
        <f>SUM(OSRRefT13x_0)</f>
        <v>1803635.5499999996</v>
      </c>
      <c r="U12" s="4"/>
      <c r="V12" s="12"/>
      <c r="W12" s="4"/>
      <c r="X12" s="4">
        <f t="shared" ref="X12:X36" si="2">+P12-T12</f>
        <v>-255116.62999999966</v>
      </c>
      <c r="Y12" s="4"/>
      <c r="Z12" s="12">
        <f t="shared" ref="Z12:Z36" si="3">IF(T12=0,0,X12/T12)</f>
        <v>-0.14144577600502481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--419997.89</f>
        <v>419997.89</v>
      </c>
      <c r="E13" s="2"/>
      <c r="F13" s="19"/>
      <c r="G13" s="2"/>
      <c r="H13" s="2">
        <f>-835.3</f>
        <v>-835.3</v>
      </c>
      <c r="I13" s="2"/>
      <c r="J13" s="19"/>
      <c r="K13" s="2"/>
      <c r="L13" s="2">
        <f t="shared" si="0"/>
        <v>420833.19</v>
      </c>
      <c r="M13" s="2"/>
      <c r="N13" s="19">
        <f t="shared" si="1"/>
        <v>-503.81083443074345</v>
      </c>
      <c r="O13" s="11"/>
      <c r="P13" s="2">
        <f>--1214701.38</f>
        <v>1214701.3799999999</v>
      </c>
      <c r="Q13" s="2"/>
      <c r="R13" s="19"/>
      <c r="S13" s="2"/>
      <c r="T13" s="2">
        <f>-7761.03</f>
        <v>-7761.03</v>
      </c>
      <c r="U13" s="2"/>
      <c r="V13" s="19"/>
      <c r="W13" s="2"/>
      <c r="X13" s="2">
        <f t="shared" si="2"/>
        <v>1222462.4099999999</v>
      </c>
      <c r="Y13" s="2"/>
      <c r="Z13" s="19">
        <f t="shared" si="3"/>
        <v>-157.51290872474399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--378754.92</f>
        <v>378754.92</v>
      </c>
      <c r="I14" s="2"/>
      <c r="J14" s="19"/>
      <c r="K14" s="2"/>
      <c r="L14" s="2">
        <f t="shared" si="0"/>
        <v>-378754.92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--933601.72</f>
        <v>933601.72</v>
      </c>
      <c r="U14" s="2"/>
      <c r="V14" s="19"/>
      <c r="W14" s="2"/>
      <c r="X14" s="2">
        <f t="shared" si="2"/>
        <v>-933601.72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--151517.66</f>
        <v>151517.66</v>
      </c>
      <c r="I15" s="2"/>
      <c r="J15" s="19"/>
      <c r="K15" s="2"/>
      <c r="L15" s="2">
        <f t="shared" si="0"/>
        <v>-151517.66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--340180.21</f>
        <v>340180.21</v>
      </c>
      <c r="U15" s="2"/>
      <c r="V15" s="19"/>
      <c r="W15" s="2"/>
      <c r="X15" s="2">
        <f t="shared" si="2"/>
        <v>-340180.21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--7222.26</f>
        <v>7222.26</v>
      </c>
      <c r="I16" s="2"/>
      <c r="J16" s="19"/>
      <c r="K16" s="2"/>
      <c r="L16" s="2">
        <f t="shared" si="0"/>
        <v>-7222.26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--17887.89</f>
        <v>17887.89</v>
      </c>
      <c r="U16" s="2"/>
      <c r="V16" s="19"/>
      <c r="W16" s="2"/>
      <c r="X16" s="2">
        <f t="shared" si="2"/>
        <v>-17887.89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--200.1</f>
        <v>200.1</v>
      </c>
      <c r="I17" s="2"/>
      <c r="J17" s="19"/>
      <c r="K17" s="2"/>
      <c r="L17" s="2">
        <f t="shared" si="0"/>
        <v>-200.1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--2659.66</f>
        <v>2659.66</v>
      </c>
      <c r="U17" s="2"/>
      <c r="V17" s="19"/>
      <c r="W17" s="2"/>
      <c r="X17" s="2">
        <f t="shared" si="2"/>
        <v>-2659.66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--346.55</f>
        <v>346.55</v>
      </c>
      <c r="I18" s="2"/>
      <c r="J18" s="19"/>
      <c r="K18" s="2"/>
      <c r="L18" s="2">
        <f t="shared" si="0"/>
        <v>-346.55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--930.52</f>
        <v>930.52</v>
      </c>
      <c r="U18" s="2"/>
      <c r="V18" s="19"/>
      <c r="W18" s="2"/>
      <c r="X18" s="2">
        <f t="shared" si="2"/>
        <v>-930.52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--3.98</f>
        <v>3.98</v>
      </c>
      <c r="I19" s="2"/>
      <c r="J19" s="19"/>
      <c r="K19" s="2"/>
      <c r="L19" s="2">
        <f t="shared" si="0"/>
        <v>-3.98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--380.04</f>
        <v>380.04</v>
      </c>
      <c r="U19" s="2"/>
      <c r="V19" s="19"/>
      <c r="W19" s="2"/>
      <c r="X19" s="2">
        <f t="shared" si="2"/>
        <v>-380.04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--100.3</f>
        <v>100.3</v>
      </c>
      <c r="I20" s="2"/>
      <c r="J20" s="19"/>
      <c r="K20" s="2"/>
      <c r="L20" s="2">
        <f t="shared" si="0"/>
        <v>-100.3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--291.14</f>
        <v>291.14</v>
      </c>
      <c r="U20" s="2"/>
      <c r="V20" s="19"/>
      <c r="W20" s="2"/>
      <c r="X20" s="2">
        <f t="shared" si="2"/>
        <v>-291.14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--82343.75</f>
        <v>82343.75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82343.75</v>
      </c>
      <c r="M21" s="2"/>
      <c r="N21" s="19">
        <f t="shared" si="1"/>
        <v>0</v>
      </c>
      <c r="O21" s="11"/>
      <c r="P21" s="2">
        <f>--409883.98</f>
        <v>409883.98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409883.98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6">0</f>
        <v>0</v>
      </c>
      <c r="E22" s="2"/>
      <c r="F22" s="19"/>
      <c r="G22" s="2"/>
      <c r="H22" s="2">
        <f>--22084.7</f>
        <v>22084.7</v>
      </c>
      <c r="I22" s="2"/>
      <c r="J22" s="19"/>
      <c r="K22" s="2"/>
      <c r="L22" s="2">
        <f t="shared" si="0"/>
        <v>-22084.7</v>
      </c>
      <c r="M22" s="2"/>
      <c r="N22" s="19">
        <f t="shared" si="1"/>
        <v>-1</v>
      </c>
      <c r="O22" s="11"/>
      <c r="P22" s="2">
        <f t="shared" ref="P22:P27" si="7">0</f>
        <v>0</v>
      </c>
      <c r="Q22" s="2"/>
      <c r="R22" s="19"/>
      <c r="S22" s="2"/>
      <c r="T22" s="2">
        <f>--104225.63</f>
        <v>104225.63</v>
      </c>
      <c r="U22" s="2"/>
      <c r="V22" s="19"/>
      <c r="W22" s="2"/>
      <c r="X22" s="2">
        <f t="shared" si="2"/>
        <v>-104225.63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--9330.01</f>
        <v>9330.01</v>
      </c>
      <c r="I23" s="2"/>
      <c r="J23" s="19"/>
      <c r="K23" s="2"/>
      <c r="L23" s="2">
        <f t="shared" si="0"/>
        <v>-9330.01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--42961.32</f>
        <v>42961.32</v>
      </c>
      <c r="U23" s="2"/>
      <c r="V23" s="19"/>
      <c r="W23" s="2"/>
      <c r="X23" s="2">
        <f t="shared" si="2"/>
        <v>-42961.32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6"/>
        <v>0</v>
      </c>
      <c r="E24" s="2"/>
      <c r="F24" s="19"/>
      <c r="G24" s="2"/>
      <c r="H24" s="2">
        <f>--853.98</f>
        <v>853.98</v>
      </c>
      <c r="I24" s="2"/>
      <c r="J24" s="19"/>
      <c r="K24" s="2"/>
      <c r="L24" s="2">
        <f t="shared" si="0"/>
        <v>-853.98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--1138.95</f>
        <v>1138.95</v>
      </c>
      <c r="U24" s="2"/>
      <c r="V24" s="19"/>
      <c r="W24" s="2"/>
      <c r="X24" s="2">
        <f t="shared" si="2"/>
        <v>-1138.95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6"/>
        <v>0</v>
      </c>
      <c r="E25" s="2"/>
      <c r="F25" s="19"/>
      <c r="G25" s="2"/>
      <c r="H25" s="2">
        <f>--161977.12</f>
        <v>161977.12</v>
      </c>
      <c r="I25" s="2"/>
      <c r="J25" s="19"/>
      <c r="K25" s="2"/>
      <c r="L25" s="2">
        <f t="shared" si="0"/>
        <v>-161977.12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--458168.13</f>
        <v>458168.13</v>
      </c>
      <c r="U25" s="2"/>
      <c r="V25" s="19"/>
      <c r="W25" s="2"/>
      <c r="X25" s="2">
        <f t="shared" si="2"/>
        <v>-458168.13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6"/>
        <v>0</v>
      </c>
      <c r="E26" s="2"/>
      <c r="F26" s="19"/>
      <c r="G26" s="2"/>
      <c r="H26" s="2">
        <f>--4661.75</f>
        <v>4661.75</v>
      </c>
      <c r="I26" s="2"/>
      <c r="J26" s="19"/>
      <c r="K26" s="2"/>
      <c r="L26" s="2">
        <f t="shared" si="0"/>
        <v>-4661.75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--6989.25</f>
        <v>6989.25</v>
      </c>
      <c r="U26" s="2"/>
      <c r="V26" s="19"/>
      <c r="W26" s="2"/>
      <c r="X26" s="2">
        <f t="shared" si="2"/>
        <v>-6989.25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6"/>
        <v>0</v>
      </c>
      <c r="E27" s="2"/>
      <c r="F27" s="19"/>
      <c r="G27" s="2"/>
      <c r="H27" s="2">
        <f>--538.3</f>
        <v>538.29999999999995</v>
      </c>
      <c r="I27" s="2"/>
      <c r="J27" s="19"/>
      <c r="K27" s="2"/>
      <c r="L27" s="2">
        <f t="shared" si="0"/>
        <v>-538.29999999999995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--771.73</f>
        <v>771.73</v>
      </c>
      <c r="U27" s="2"/>
      <c r="V27" s="19"/>
      <c r="W27" s="2"/>
      <c r="X27" s="2">
        <f t="shared" si="2"/>
        <v>-771.73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-17245.44</f>
        <v>-17245.439999999999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-17245.439999999999</v>
      </c>
      <c r="M28" s="2"/>
      <c r="N28" s="19">
        <f t="shared" si="1"/>
        <v>0</v>
      </c>
      <c r="O28" s="11"/>
      <c r="P28" s="2">
        <f>-46638.46</f>
        <v>-46638.46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-46638.46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8">0</f>
        <v>0</v>
      </c>
      <c r="E29" s="2"/>
      <c r="F29" s="19"/>
      <c r="G29" s="2"/>
      <c r="H29" s="2">
        <f>-12741.9</f>
        <v>-12741.9</v>
      </c>
      <c r="I29" s="2"/>
      <c r="J29" s="19"/>
      <c r="K29" s="2"/>
      <c r="L29" s="2">
        <f t="shared" si="0"/>
        <v>12741.9</v>
      </c>
      <c r="M29" s="2"/>
      <c r="N29" s="19">
        <f t="shared" si="1"/>
        <v>-1</v>
      </c>
      <c r="O29" s="11"/>
      <c r="P29" s="2">
        <f t="shared" ref="P29:P31" si="9">0</f>
        <v>0</v>
      </c>
      <c r="Q29" s="2"/>
      <c r="R29" s="19"/>
      <c r="S29" s="2"/>
      <c r="T29" s="2">
        <f>-48517.74</f>
        <v>-48517.74</v>
      </c>
      <c r="U29" s="2"/>
      <c r="V29" s="19"/>
      <c r="W29" s="2"/>
      <c r="X29" s="2">
        <f t="shared" si="2"/>
        <v>48517.74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8"/>
        <v>0</v>
      </c>
      <c r="E30" s="2"/>
      <c r="F30" s="19"/>
      <c r="G30" s="2"/>
      <c r="H30" s="2">
        <f>-4670.3</f>
        <v>-4670.3</v>
      </c>
      <c r="I30" s="2"/>
      <c r="J30" s="19"/>
      <c r="K30" s="2"/>
      <c r="L30" s="2">
        <f t="shared" si="0"/>
        <v>4670.3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-18536.3</f>
        <v>-18536.3</v>
      </c>
      <c r="U30" s="2"/>
      <c r="V30" s="19"/>
      <c r="W30" s="2"/>
      <c r="X30" s="2">
        <f t="shared" si="2"/>
        <v>18536.3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8"/>
        <v>0</v>
      </c>
      <c r="E31" s="2"/>
      <c r="F31" s="19"/>
      <c r="G31" s="2"/>
      <c r="H31" s="2">
        <f t="shared" ref="H31:H32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9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-498.15</f>
        <v>-498.15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-498.15</v>
      </c>
      <c r="M32" s="2"/>
      <c r="N32" s="19">
        <f t="shared" si="1"/>
        <v>0</v>
      </c>
      <c r="O32" s="11"/>
      <c r="P32" s="2">
        <f>-26401.29</f>
        <v>-26401.29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-26401.29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1">0</f>
        <v>0</v>
      </c>
      <c r="E33" s="2"/>
      <c r="F33" s="19"/>
      <c r="G33" s="2"/>
      <c r="H33" s="2">
        <f>-256.69</f>
        <v>-256.69</v>
      </c>
      <c r="I33" s="2"/>
      <c r="J33" s="19"/>
      <c r="K33" s="2"/>
      <c r="L33" s="2">
        <f t="shared" si="0"/>
        <v>256.69</v>
      </c>
      <c r="M33" s="2"/>
      <c r="N33" s="19">
        <f t="shared" si="1"/>
        <v>-1</v>
      </c>
      <c r="O33" s="11"/>
      <c r="P33" s="2">
        <f t="shared" ref="P33:P35" si="12">0</f>
        <v>0</v>
      </c>
      <c r="Q33" s="2"/>
      <c r="R33" s="19"/>
      <c r="S33" s="2"/>
      <c r="T33" s="2">
        <f>-3005.79</f>
        <v>-3005.79</v>
      </c>
      <c r="U33" s="2"/>
      <c r="V33" s="19"/>
      <c r="W33" s="2"/>
      <c r="X33" s="2">
        <f t="shared" si="2"/>
        <v>3005.79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1"/>
        <v>0</v>
      </c>
      <c r="E34" s="2"/>
      <c r="F34" s="19"/>
      <c r="G34" s="2"/>
      <c r="H34" s="2">
        <f>-532.96</f>
        <v>-532.96</v>
      </c>
      <c r="I34" s="2"/>
      <c r="J34" s="19"/>
      <c r="K34" s="2"/>
      <c r="L34" s="2">
        <f t="shared" si="0"/>
        <v>532.96</v>
      </c>
      <c r="M34" s="2"/>
      <c r="N34" s="19">
        <f t="shared" si="1"/>
        <v>-1</v>
      </c>
      <c r="O34" s="11"/>
      <c r="P34" s="2">
        <f t="shared" si="12"/>
        <v>0</v>
      </c>
      <c r="Q34" s="2"/>
      <c r="R34" s="19"/>
      <c r="S34" s="2"/>
      <c r="T34" s="2">
        <f>-2003.16</f>
        <v>-2003.16</v>
      </c>
      <c r="U34" s="2"/>
      <c r="V34" s="19"/>
      <c r="W34" s="2"/>
      <c r="X34" s="2">
        <f t="shared" si="2"/>
        <v>2003.16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1"/>
        <v>0</v>
      </c>
      <c r="E35" s="2"/>
      <c r="F35" s="19"/>
      <c r="G35" s="2"/>
      <c r="H35" s="2">
        <f>-10673</f>
        <v>-10673</v>
      </c>
      <c r="I35" s="2"/>
      <c r="J35" s="19"/>
      <c r="K35" s="2"/>
      <c r="L35" s="2">
        <f t="shared" si="0"/>
        <v>10673</v>
      </c>
      <c r="M35" s="2"/>
      <c r="N35" s="19">
        <f t="shared" si="1"/>
        <v>-1</v>
      </c>
      <c r="O35" s="11"/>
      <c r="P35" s="2">
        <f t="shared" si="12"/>
        <v>0</v>
      </c>
      <c r="Q35" s="2"/>
      <c r="R35" s="19"/>
      <c r="S35" s="2"/>
      <c r="T35" s="2">
        <f>-25095.77</f>
        <v>-25095.77</v>
      </c>
      <c r="U35" s="2"/>
      <c r="V35" s="19"/>
      <c r="W35" s="2"/>
      <c r="X35" s="2">
        <f t="shared" si="2"/>
        <v>25095.77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-1791.16</f>
        <v>-1791.16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-1791.16</v>
      </c>
      <c r="M36" s="2"/>
      <c r="N36" s="19">
        <f t="shared" si="1"/>
        <v>0</v>
      </c>
      <c r="O36" s="11"/>
      <c r="P36" s="2">
        <f>-3026.69</f>
        <v>-3026.69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-3026.69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6" t="s">
        <v>256</v>
      </c>
      <c r="C38" s="10"/>
      <c r="D38" s="4">
        <f>SUM(OSRRefD16x_0)</f>
        <v>328221.40000000002</v>
      </c>
      <c r="E38" s="4"/>
      <c r="F38" s="12">
        <f t="shared" ref="F38:F55" si="13">IF(D$12=0,0,D38/D$12)</f>
        <v>0.67981921301910175</v>
      </c>
      <c r="G38" s="4"/>
      <c r="H38" s="4">
        <f>SUM(OSRRefH16x_0)</f>
        <v>499754.00000000006</v>
      </c>
      <c r="I38" s="4"/>
      <c r="J38" s="12">
        <f t="shared" ref="J38:J55" si="14">IF(H$12=0,0,H38/H$12)</f>
        <v>0.70598541439451135</v>
      </c>
      <c r="K38" s="4"/>
      <c r="L38" s="4">
        <f t="shared" ref="L38:L55" si="15">+D38-H38</f>
        <v>-171532.60000000003</v>
      </c>
      <c r="M38" s="4"/>
      <c r="N38" s="12">
        <f t="shared" ref="N38:N55" si="16">IF(H38=0,0,L38/H38)</f>
        <v>-0.34323407116301224</v>
      </c>
      <c r="O38" s="10"/>
      <c r="P38" s="4">
        <f>SUM(OSRRefP16x_0)</f>
        <v>1217890.1699999997</v>
      </c>
      <c r="Q38" s="4"/>
      <c r="R38" s="12">
        <f t="shared" ref="R38:R55" si="17">IF(P$12=0,0,P38/P$12)</f>
        <v>0.78648710988949344</v>
      </c>
      <c r="S38" s="4"/>
      <c r="T38" s="4">
        <f>SUM(OSRRefT16x_0)</f>
        <v>1279451</v>
      </c>
      <c r="U38" s="4"/>
      <c r="V38" s="12">
        <f t="shared" ref="V38:V55" si="18">IF(T$12=0,0,T38/T$12)</f>
        <v>0.70937335427880666</v>
      </c>
      <c r="W38" s="4"/>
      <c r="X38" s="4">
        <f t="shared" ref="X38:X55" si="19">+P38-T38</f>
        <v>-61560.830000000307</v>
      </c>
      <c r="Y38" s="4"/>
      <c r="Z38" s="12">
        <f t="shared" ref="Z38:Z55" si="20">IF(T38=0,0,X38/T38)</f>
        <v>-4.8115035276849454E-2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260452.83</v>
      </c>
      <c r="E39" s="2"/>
      <c r="F39" s="19">
        <f t="shared" si="13"/>
        <v>0.53945549534307591</v>
      </c>
      <c r="G39" s="2"/>
      <c r="H39" s="2">
        <v>0</v>
      </c>
      <c r="I39" s="2"/>
      <c r="J39" s="19">
        <f t="shared" si="14"/>
        <v>0</v>
      </c>
      <c r="K39" s="2"/>
      <c r="L39" s="2">
        <f t="shared" si="15"/>
        <v>260452.83</v>
      </c>
      <c r="M39" s="2"/>
      <c r="N39" s="19">
        <f t="shared" si="16"/>
        <v>0</v>
      </c>
      <c r="O39" s="11"/>
      <c r="P39" s="2">
        <v>1413690.96</v>
      </c>
      <c r="Q39" s="2"/>
      <c r="R39" s="19">
        <f t="shared" si="17"/>
        <v>0.9129310218566784</v>
      </c>
      <c r="S39" s="2"/>
      <c r="T39" s="2">
        <v>0</v>
      </c>
      <c r="U39" s="2"/>
      <c r="V39" s="19">
        <f t="shared" si="18"/>
        <v>0</v>
      </c>
      <c r="W39" s="2"/>
      <c r="X39" s="2">
        <f t="shared" si="19"/>
        <v>1413690.96</v>
      </c>
      <c r="Y39" s="2"/>
      <c r="Z39" s="19">
        <f t="shared" si="20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3"/>
        <v>0</v>
      </c>
      <c r="G40" s="2"/>
      <c r="H40" s="2">
        <v>292656.37</v>
      </c>
      <c r="I40" s="2"/>
      <c r="J40" s="19">
        <f t="shared" si="14"/>
        <v>0.4134256627253477</v>
      </c>
      <c r="K40" s="2"/>
      <c r="L40" s="2">
        <f t="shared" si="15"/>
        <v>-292656.37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1366198.05</v>
      </c>
      <c r="U40" s="2"/>
      <c r="V40" s="19">
        <f t="shared" si="18"/>
        <v>0.75746901861631655</v>
      </c>
      <c r="W40" s="2"/>
      <c r="X40" s="2">
        <f t="shared" si="19"/>
        <v>-1366198.05</v>
      </c>
      <c r="Y40" s="2"/>
      <c r="Z40" s="19">
        <f t="shared" si="20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3"/>
        <v>0</v>
      </c>
      <c r="G41" s="2"/>
      <c r="H41" s="2">
        <v>-2814.66</v>
      </c>
      <c r="I41" s="2"/>
      <c r="J41" s="19">
        <f t="shared" si="14"/>
        <v>-3.9761740906118911E-3</v>
      </c>
      <c r="K41" s="2"/>
      <c r="L41" s="2">
        <f t="shared" si="15"/>
        <v>2814.66</v>
      </c>
      <c r="M41" s="2"/>
      <c r="N41" s="19">
        <f t="shared" si="16"/>
        <v>-1</v>
      </c>
      <c r="O41" s="11"/>
      <c r="P41" s="2">
        <v>0</v>
      </c>
      <c r="Q41" s="2"/>
      <c r="R41" s="19">
        <f t="shared" si="17"/>
        <v>0</v>
      </c>
      <c r="S41" s="2"/>
      <c r="T41" s="2">
        <v>23022.47</v>
      </c>
      <c r="U41" s="2"/>
      <c r="V41" s="19">
        <f t="shared" si="18"/>
        <v>1.2764480052525028E-2</v>
      </c>
      <c r="W41" s="2"/>
      <c r="X41" s="2">
        <f t="shared" si="19"/>
        <v>-23022.47</v>
      </c>
      <c r="Y41" s="2"/>
      <c r="Z41" s="19">
        <f t="shared" si="20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3"/>
        <v>0</v>
      </c>
      <c r="G42" s="2"/>
      <c r="H42" s="2"/>
      <c r="I42" s="2"/>
      <c r="J42" s="19">
        <f t="shared" si="14"/>
        <v>0</v>
      </c>
      <c r="K42" s="2"/>
      <c r="L42" s="2">
        <f t="shared" si="15"/>
        <v>0</v>
      </c>
      <c r="M42" s="2"/>
      <c r="N42" s="19">
        <f t="shared" si="16"/>
        <v>0</v>
      </c>
      <c r="O42" s="11"/>
      <c r="P42" s="2"/>
      <c r="Q42" s="2"/>
      <c r="R42" s="19">
        <f t="shared" si="17"/>
        <v>0</v>
      </c>
      <c r="S42" s="2"/>
      <c r="T42" s="2">
        <v>32.520000000000003</v>
      </c>
      <c r="U42" s="2"/>
      <c r="V42" s="19">
        <f t="shared" si="18"/>
        <v>1.803025006908963E-5</v>
      </c>
      <c r="W42" s="2"/>
      <c r="X42" s="2">
        <f t="shared" si="19"/>
        <v>-32.520000000000003</v>
      </c>
      <c r="Y42" s="2"/>
      <c r="Z42" s="19">
        <f t="shared" si="20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3"/>
        <v>0</v>
      </c>
      <c r="G43" s="2"/>
      <c r="H43" s="2">
        <v>18888.45</v>
      </c>
      <c r="I43" s="2"/>
      <c r="J43" s="19">
        <f t="shared" si="14"/>
        <v>2.668306847072761E-2</v>
      </c>
      <c r="K43" s="2"/>
      <c r="L43" s="2">
        <f t="shared" si="15"/>
        <v>-18888.45</v>
      </c>
      <c r="M43" s="2"/>
      <c r="N43" s="19">
        <f t="shared" si="16"/>
        <v>-1</v>
      </c>
      <c r="O43" s="11"/>
      <c r="P43" s="2">
        <v>0</v>
      </c>
      <c r="Q43" s="2"/>
      <c r="R43" s="19">
        <f t="shared" si="17"/>
        <v>0</v>
      </c>
      <c r="S43" s="2"/>
      <c r="T43" s="2">
        <v>216726.56</v>
      </c>
      <c r="U43" s="2"/>
      <c r="V43" s="19">
        <f t="shared" si="18"/>
        <v>0.12016094936696055</v>
      </c>
      <c r="W43" s="2"/>
      <c r="X43" s="2">
        <f t="shared" si="19"/>
        <v>-216726.56</v>
      </c>
      <c r="Y43" s="2"/>
      <c r="Z43" s="19">
        <f t="shared" si="20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3"/>
        <v>0</v>
      </c>
      <c r="G44" s="2"/>
      <c r="H44" s="2"/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1"/>
      <c r="P44" s="2"/>
      <c r="Q44" s="2"/>
      <c r="R44" s="19">
        <f t="shared" si="17"/>
        <v>0</v>
      </c>
      <c r="S44" s="2"/>
      <c r="T44" s="2">
        <v>67.17</v>
      </c>
      <c r="U44" s="2"/>
      <c r="V44" s="19">
        <f t="shared" si="18"/>
        <v>3.724144825156059E-5</v>
      </c>
      <c r="W44" s="2"/>
      <c r="X44" s="2">
        <f t="shared" si="19"/>
        <v>-67.17</v>
      </c>
      <c r="Y44" s="2"/>
      <c r="Z44" s="19">
        <f t="shared" si="20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3"/>
        <v>0</v>
      </c>
      <c r="G45" s="2"/>
      <c r="H45" s="2">
        <v>3531.13</v>
      </c>
      <c r="I45" s="2"/>
      <c r="J45" s="19">
        <f t="shared" si="14"/>
        <v>4.9883067996071883E-3</v>
      </c>
      <c r="K45" s="2"/>
      <c r="L45" s="2">
        <f t="shared" si="15"/>
        <v>-3531.13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5656.98</v>
      </c>
      <c r="U45" s="2"/>
      <c r="V45" s="19">
        <f t="shared" si="18"/>
        <v>3.1364318584206222E-3</v>
      </c>
      <c r="W45" s="2"/>
      <c r="X45" s="2">
        <f t="shared" si="19"/>
        <v>-5656.98</v>
      </c>
      <c r="Y45" s="2"/>
      <c r="Z45" s="19">
        <f t="shared" si="20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90.41</v>
      </c>
      <c r="U46" s="2"/>
      <c r="V46" s="19">
        <f t="shared" si="18"/>
        <v>5.0126534709298683E-5</v>
      </c>
      <c r="W46" s="2"/>
      <c r="X46" s="2">
        <f t="shared" si="19"/>
        <v>-90.41</v>
      </c>
      <c r="Y46" s="2"/>
      <c r="Z46" s="19">
        <f t="shared" si="20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3"/>
        <v>0</v>
      </c>
      <c r="G47" s="2"/>
      <c r="H47" s="2">
        <v>416</v>
      </c>
      <c r="I47" s="2"/>
      <c r="J47" s="19">
        <f t="shared" si="14"/>
        <v>5.8766899792321158E-4</v>
      </c>
      <c r="K47" s="2"/>
      <c r="L47" s="2">
        <f t="shared" si="15"/>
        <v>-416</v>
      </c>
      <c r="M47" s="2"/>
      <c r="N47" s="19">
        <f t="shared" si="16"/>
        <v>-1</v>
      </c>
      <c r="O47" s="11"/>
      <c r="P47" s="2"/>
      <c r="Q47" s="2"/>
      <c r="R47" s="19">
        <f t="shared" si="17"/>
        <v>0</v>
      </c>
      <c r="S47" s="2"/>
      <c r="T47" s="2">
        <v>522.34</v>
      </c>
      <c r="U47" s="2"/>
      <c r="V47" s="19">
        <f t="shared" si="18"/>
        <v>2.8960396128807739E-4</v>
      </c>
      <c r="W47" s="2"/>
      <c r="X47" s="2">
        <f t="shared" si="19"/>
        <v>-522.34</v>
      </c>
      <c r="Y47" s="2"/>
      <c r="Z47" s="19">
        <f t="shared" si="20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-271779.8</v>
      </c>
      <c r="E48" s="2"/>
      <c r="F48" s="19">
        <f t="shared" si="13"/>
        <v>-0.56291615888083113</v>
      </c>
      <c r="G48" s="2"/>
      <c r="H48" s="2">
        <v>-321969.3</v>
      </c>
      <c r="I48" s="2"/>
      <c r="J48" s="19">
        <f t="shared" si="14"/>
        <v>-0.45483503820441801</v>
      </c>
      <c r="K48" s="2"/>
      <c r="L48" s="2">
        <f t="shared" si="15"/>
        <v>50189.5</v>
      </c>
      <c r="M48" s="2"/>
      <c r="N48" s="19">
        <f t="shared" si="16"/>
        <v>-0.15588287454735592</v>
      </c>
      <c r="O48" s="11"/>
      <c r="P48" s="2">
        <v>-1462359.61</v>
      </c>
      <c r="Q48" s="2"/>
      <c r="R48" s="19">
        <f t="shared" si="17"/>
        <v>-0.94436018256722376</v>
      </c>
      <c r="S48" s="2"/>
      <c r="T48" s="2">
        <v>-1672643.1</v>
      </c>
      <c r="U48" s="2"/>
      <c r="V48" s="19">
        <f t="shared" si="18"/>
        <v>-0.92737310483817004</v>
      </c>
      <c r="W48" s="2"/>
      <c r="X48" s="2">
        <f t="shared" si="19"/>
        <v>210283.49</v>
      </c>
      <c r="Y48" s="2"/>
      <c r="Z48" s="19">
        <f t="shared" si="20"/>
        <v>-0.12571928225453474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328221.40000000002</v>
      </c>
      <c r="E49" s="2"/>
      <c r="F49" s="19">
        <f t="shared" si="13"/>
        <v>0.67981921301910175</v>
      </c>
      <c r="G49" s="2"/>
      <c r="H49" s="2">
        <v>499754</v>
      </c>
      <c r="I49" s="2"/>
      <c r="J49" s="19">
        <f t="shared" si="14"/>
        <v>0.70598541439451123</v>
      </c>
      <c r="K49" s="2"/>
      <c r="L49" s="2">
        <f t="shared" si="15"/>
        <v>-171532.59999999998</v>
      </c>
      <c r="M49" s="2"/>
      <c r="N49" s="19">
        <f t="shared" si="16"/>
        <v>-0.34323407116301213</v>
      </c>
      <c r="O49" s="11"/>
      <c r="P49" s="2">
        <v>1217890.17</v>
      </c>
      <c r="Q49" s="2"/>
      <c r="R49" s="19">
        <f t="shared" si="17"/>
        <v>0.78648710988949366</v>
      </c>
      <c r="S49" s="2"/>
      <c r="T49" s="2">
        <v>1279451</v>
      </c>
      <c r="U49" s="2"/>
      <c r="V49" s="19">
        <f t="shared" si="18"/>
        <v>0.70937335427880666</v>
      </c>
      <c r="W49" s="2"/>
      <c r="X49" s="2">
        <f t="shared" si="19"/>
        <v>-61560.830000000075</v>
      </c>
      <c r="Y49" s="2"/>
      <c r="Z49" s="19">
        <f t="shared" si="20"/>
        <v>-4.8115035276849266E-2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11326.97</v>
      </c>
      <c r="E50" s="2"/>
      <c r="F50" s="19">
        <f t="shared" si="13"/>
        <v>2.3460663537755229E-2</v>
      </c>
      <c r="G50" s="2"/>
      <c r="H50" s="2">
        <v>0</v>
      </c>
      <c r="I50" s="2"/>
      <c r="J50" s="19">
        <f t="shared" si="14"/>
        <v>0</v>
      </c>
      <c r="K50" s="2"/>
      <c r="L50" s="2">
        <f t="shared" si="15"/>
        <v>11326.97</v>
      </c>
      <c r="M50" s="2"/>
      <c r="N50" s="19">
        <f t="shared" si="16"/>
        <v>0</v>
      </c>
      <c r="O50" s="11"/>
      <c r="P50" s="2">
        <v>48668.65</v>
      </c>
      <c r="Q50" s="2"/>
      <c r="R50" s="19">
        <f t="shared" si="17"/>
        <v>3.1429160710545273E-2</v>
      </c>
      <c r="S50" s="2"/>
      <c r="T50" s="2">
        <v>0</v>
      </c>
      <c r="U50" s="2"/>
      <c r="V50" s="19">
        <f t="shared" si="18"/>
        <v>0</v>
      </c>
      <c r="W50" s="2"/>
      <c r="X50" s="2">
        <f t="shared" si="19"/>
        <v>48668.65</v>
      </c>
      <c r="Y50" s="2"/>
      <c r="Z50" s="19">
        <f t="shared" si="20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3"/>
        <v>0</v>
      </c>
      <c r="G51" s="2"/>
      <c r="H51" s="2">
        <v>7155.21</v>
      </c>
      <c r="I51" s="2"/>
      <c r="J51" s="19">
        <f t="shared" si="14"/>
        <v>1.0107920890937844E-2</v>
      </c>
      <c r="K51" s="2"/>
      <c r="L51" s="2">
        <f t="shared" si="15"/>
        <v>-7155.21</v>
      </c>
      <c r="M51" s="2"/>
      <c r="N51" s="19">
        <f t="shared" si="16"/>
        <v>-1</v>
      </c>
      <c r="O51" s="11"/>
      <c r="P51" s="2">
        <v>0</v>
      </c>
      <c r="Q51" s="2"/>
      <c r="R51" s="19">
        <f t="shared" si="17"/>
        <v>0</v>
      </c>
      <c r="S51" s="2"/>
      <c r="T51" s="2">
        <v>44618.79</v>
      </c>
      <c r="U51" s="2"/>
      <c r="V51" s="19">
        <f t="shared" si="18"/>
        <v>2.4738251583031844E-2</v>
      </c>
      <c r="W51" s="2"/>
      <c r="X51" s="2">
        <f t="shared" si="19"/>
        <v>-44618.79</v>
      </c>
      <c r="Y51" s="2"/>
      <c r="Z51" s="19">
        <f t="shared" si="20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3"/>
        <v>0</v>
      </c>
      <c r="G52" s="2"/>
      <c r="H52" s="2">
        <v>2129.7399999999998</v>
      </c>
      <c r="I52" s="2"/>
      <c r="J52" s="19">
        <f t="shared" si="14"/>
        <v>3.0086109895119725E-3</v>
      </c>
      <c r="K52" s="2"/>
      <c r="L52" s="2">
        <f t="shared" si="15"/>
        <v>-2129.7399999999998</v>
      </c>
      <c r="M52" s="2"/>
      <c r="N52" s="19">
        <f t="shared" si="16"/>
        <v>-1</v>
      </c>
      <c r="O52" s="11"/>
      <c r="P52" s="2">
        <v>0</v>
      </c>
      <c r="Q52" s="2"/>
      <c r="R52" s="19">
        <f t="shared" si="17"/>
        <v>0</v>
      </c>
      <c r="S52" s="2"/>
      <c r="T52" s="2">
        <v>15652.31</v>
      </c>
      <c r="U52" s="2"/>
      <c r="V52" s="19">
        <f t="shared" si="18"/>
        <v>8.6781999833613847E-3</v>
      </c>
      <c r="W52" s="2"/>
      <c r="X52" s="2">
        <f t="shared" si="19"/>
        <v>-15652.31</v>
      </c>
      <c r="Y52" s="2"/>
      <c r="Z52" s="19">
        <f t="shared" si="20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1"/>
      <c r="P53" s="2"/>
      <c r="Q53" s="2"/>
      <c r="R53" s="19">
        <f t="shared" si="17"/>
        <v>0</v>
      </c>
      <c r="S53" s="2"/>
      <c r="T53" s="2">
        <v>21.98</v>
      </c>
      <c r="U53" s="2"/>
      <c r="V53" s="19">
        <f t="shared" si="18"/>
        <v>1.2186497432920971E-5</v>
      </c>
      <c r="W53" s="2"/>
      <c r="X53" s="2">
        <f t="shared" si="19"/>
        <v>-21.98</v>
      </c>
      <c r="Y53" s="2"/>
      <c r="Z53" s="19">
        <f t="shared" si="20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3"/>
        <v>0</v>
      </c>
      <c r="G54" s="2"/>
      <c r="H54" s="2">
        <v>7.06</v>
      </c>
      <c r="I54" s="2"/>
      <c r="J54" s="19">
        <f t="shared" si="14"/>
        <v>9.9734209743698884E-6</v>
      </c>
      <c r="K54" s="2"/>
      <c r="L54" s="2">
        <f t="shared" si="15"/>
        <v>-7.06</v>
      </c>
      <c r="M54" s="2"/>
      <c r="N54" s="19">
        <f t="shared" si="16"/>
        <v>-1</v>
      </c>
      <c r="O54" s="11"/>
      <c r="P54" s="2"/>
      <c r="Q54" s="2"/>
      <c r="R54" s="19">
        <f t="shared" si="17"/>
        <v>0</v>
      </c>
      <c r="S54" s="2"/>
      <c r="T54" s="2">
        <v>33.520000000000003</v>
      </c>
      <c r="U54" s="2"/>
      <c r="V54" s="19">
        <f t="shared" si="18"/>
        <v>1.8584685803071474E-5</v>
      </c>
      <c r="W54" s="2"/>
      <c r="X54" s="2">
        <f t="shared" si="19"/>
        <v>-33.520000000000003</v>
      </c>
      <c r="Y54" s="2"/>
      <c r="Z54" s="19">
        <f t="shared" si="20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3"/>
        <v>0</v>
      </c>
      <c r="G55" s="2"/>
      <c r="H55" s="2"/>
      <c r="I55" s="2"/>
      <c r="J55" s="19">
        <f t="shared" si="14"/>
        <v>0</v>
      </c>
      <c r="K55" s="2"/>
      <c r="L55" s="2">
        <f t="shared" si="15"/>
        <v>0</v>
      </c>
      <c r="M55" s="2"/>
      <c r="N55" s="19">
        <f t="shared" si="16"/>
        <v>0</v>
      </c>
      <c r="O55" s="11"/>
      <c r="P55" s="2">
        <v>0</v>
      </c>
      <c r="Q55" s="2"/>
      <c r="R55" s="19">
        <f t="shared" si="17"/>
        <v>0</v>
      </c>
      <c r="S55" s="2"/>
      <c r="T55" s="2"/>
      <c r="U55" s="2"/>
      <c r="V55" s="19">
        <f t="shared" si="18"/>
        <v>0</v>
      </c>
      <c r="W55" s="2"/>
      <c r="X55" s="2">
        <f t="shared" si="19"/>
        <v>0</v>
      </c>
      <c r="Y55" s="2"/>
      <c r="Z55" s="19">
        <f t="shared" si="20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5" t="s">
        <v>107</v>
      </c>
      <c r="C57" s="25"/>
      <c r="D57" s="21">
        <f>D12-D38</f>
        <v>154585.49</v>
      </c>
      <c r="E57" s="13"/>
      <c r="F57" s="22">
        <f>IF(D$12=0,0,D57/D$12)</f>
        <v>0.3201807869808983</v>
      </c>
      <c r="G57" s="13"/>
      <c r="H57" s="21">
        <f>H12-H38</f>
        <v>208127.48000000004</v>
      </c>
      <c r="I57" s="13"/>
      <c r="J57" s="22">
        <f>IF(H$12=0,0,H57/H$12)</f>
        <v>0.29401458560548865</v>
      </c>
      <c r="K57" s="15"/>
      <c r="L57" s="21">
        <f>+D57-H57</f>
        <v>-53541.990000000049</v>
      </c>
      <c r="M57" s="15"/>
      <c r="N57" s="22">
        <f>IF(H57=0,0,L57/H57)</f>
        <v>-0.25725574537298024</v>
      </c>
      <c r="O57" s="26"/>
      <c r="P57" s="21">
        <f>P12-P38</f>
        <v>330628.75000000023</v>
      </c>
      <c r="Q57" s="13"/>
      <c r="R57" s="22">
        <f>IF(P$12=0,0,P57/P$12)</f>
        <v>0.21351289011050653</v>
      </c>
      <c r="S57" s="13"/>
      <c r="T57" s="21">
        <f>T12-T38</f>
        <v>524184.54999999958</v>
      </c>
      <c r="U57" s="13"/>
      <c r="V57" s="22">
        <f>IF(T$12=0,0,T57/T$12)</f>
        <v>0.29062664572119334</v>
      </c>
      <c r="W57" s="15"/>
      <c r="X57" s="21">
        <f>+P57-T57</f>
        <v>-193555.79999999935</v>
      </c>
      <c r="Y57" s="15"/>
      <c r="Z57" s="22">
        <f>IF(T57=0,0,X57/T57)</f>
        <v>-0.36925124939298476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6" t="s">
        <v>294</v>
      </c>
      <c r="C59" s="10"/>
      <c r="D59" s="20">
        <f>SUM(OSRRefD22x_0)</f>
        <v>52742.58</v>
      </c>
      <c r="E59" s="20"/>
      <c r="F59" s="30">
        <f t="shared" ref="F59:F69" si="21">IF(D$12=0,0,D59/D$12)</f>
        <v>0.10924156446897433</v>
      </c>
      <c r="G59" s="20"/>
      <c r="H59" s="20">
        <f>SUM(OSRRefH22x_0)</f>
        <v>58886.079999999994</v>
      </c>
      <c r="I59" s="20"/>
      <c r="J59" s="30">
        <f t="shared" ref="J59:J69" si="22">IF(H$12=0,0,H59/H$12)</f>
        <v>8.3186354868331897E-2</v>
      </c>
      <c r="K59" s="4"/>
      <c r="L59" s="20">
        <f t="shared" ref="L59:L69" si="23">+D59-H59</f>
        <v>-6143.4999999999927</v>
      </c>
      <c r="M59" s="4"/>
      <c r="N59" s="30">
        <f t="shared" ref="N59:N69" si="24">IF(H59=0,0,L59/H59)</f>
        <v>-0.10432856118118226</v>
      </c>
      <c r="O59" s="10"/>
      <c r="P59" s="20">
        <f>SUM(OSRRefP22x_0)</f>
        <v>332260.56000000006</v>
      </c>
      <c r="Q59" s="20"/>
      <c r="R59" s="30">
        <f t="shared" ref="R59:R69" si="25">IF(P$12=0,0,P59/P$12)</f>
        <v>0.21456667768708959</v>
      </c>
      <c r="S59" s="20"/>
      <c r="T59" s="20">
        <f>SUM(OSRRefT22x_0)</f>
        <v>322990.58999999991</v>
      </c>
      <c r="U59" s="20"/>
      <c r="V59" s="30">
        <f t="shared" ref="V59:V69" si="26">IF(T$12=0,0,T59/T$12)</f>
        <v>0.17907752483587938</v>
      </c>
      <c r="W59" s="4"/>
      <c r="X59" s="20">
        <f t="shared" ref="X59:X69" si="27">+P59-T59</f>
        <v>9269.9700000001467</v>
      </c>
      <c r="Y59" s="4"/>
      <c r="Z59" s="30">
        <f t="shared" ref="Z59:Z69" si="28">IF(T59=0,0,X59/T59)</f>
        <v>2.8700433656597083E-2</v>
      </c>
    </row>
    <row r="60" spans="1:26" s="29" customFormat="1" outlineLevel="1" collapsed="1" x14ac:dyDescent="0.3">
      <c r="A60" s="28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16187.02</v>
      </c>
      <c r="E60" s="1"/>
      <c r="F60" s="5">
        <f t="shared" si="21"/>
        <v>3.3526903478945796E-2</v>
      </c>
      <c r="G60" s="1"/>
      <c r="H60" s="1">
        <f>SUM(OSRRefH22_0x_0)</f>
        <v>13034.259999999998</v>
      </c>
      <c r="I60" s="1"/>
      <c r="J60" s="5">
        <f t="shared" si="22"/>
        <v>1.8413054117477401E-2</v>
      </c>
      <c r="K60" s="1"/>
      <c r="L60" s="1">
        <f t="shared" si="23"/>
        <v>3152.760000000002</v>
      </c>
      <c r="M60" s="1"/>
      <c r="N60" s="5">
        <f t="shared" si="24"/>
        <v>0.24188254645833385</v>
      </c>
      <c r="O60" s="14"/>
      <c r="P60" s="1">
        <f>SUM(OSRRefP22_0x_0)</f>
        <v>93152.080000000016</v>
      </c>
      <c r="Q60" s="1"/>
      <c r="R60" s="5">
        <f t="shared" si="25"/>
        <v>6.01555969364585E-2</v>
      </c>
      <c r="S60" s="1"/>
      <c r="T60" s="1">
        <f>SUM(OSRRefT22_0x_0)</f>
        <v>81797.210000000006</v>
      </c>
      <c r="U60" s="1"/>
      <c r="V60" s="5">
        <f t="shared" si="26"/>
        <v>4.5351296164017188E-2</v>
      </c>
      <c r="W60" s="1"/>
      <c r="X60" s="1">
        <f t="shared" si="27"/>
        <v>11354.87000000001</v>
      </c>
      <c r="Y60" s="1"/>
      <c r="Z60" s="5">
        <f t="shared" si="28"/>
        <v>0.13881732641003292</v>
      </c>
    </row>
    <row r="61" spans="1:26" s="24" customFormat="1" hidden="1" outlineLevel="2" x14ac:dyDescent="0.3">
      <c r="A61" s="27"/>
      <c r="B61" s="11" t="str">
        <f>CONCATENATE("          ", "6111", " - ", "F.I.C.A.")</f>
        <v xml:space="preserve">          6111 - F.I.C.A.</v>
      </c>
      <c r="C61" s="11"/>
      <c r="D61" s="7">
        <v>1970.39</v>
      </c>
      <c r="E61" s="2"/>
      <c r="F61" s="6">
        <f t="shared" si="21"/>
        <v>4.0811140868350073E-3</v>
      </c>
      <c r="G61" s="2"/>
      <c r="H61" s="7">
        <v>2182.61</v>
      </c>
      <c r="I61" s="2"/>
      <c r="J61" s="6">
        <f t="shared" si="22"/>
        <v>3.0832986335509157E-3</v>
      </c>
      <c r="K61" s="2"/>
      <c r="L61" s="7">
        <f t="shared" si="23"/>
        <v>-212.22000000000003</v>
      </c>
      <c r="M61" s="2"/>
      <c r="N61" s="6">
        <f t="shared" si="24"/>
        <v>-9.7232212809434587E-2</v>
      </c>
      <c r="O61" s="11"/>
      <c r="P61" s="7">
        <v>14850.68</v>
      </c>
      <c r="Q61" s="2"/>
      <c r="R61" s="6">
        <f t="shared" si="25"/>
        <v>9.5902476929374553E-3</v>
      </c>
      <c r="S61" s="2"/>
      <c r="T61" s="7">
        <v>15125.61</v>
      </c>
      <c r="U61" s="2"/>
      <c r="V61" s="6">
        <f t="shared" si="26"/>
        <v>8.386178682273147E-3</v>
      </c>
      <c r="W61" s="2"/>
      <c r="X61" s="7">
        <f t="shared" si="27"/>
        <v>-274.93000000000029</v>
      </c>
      <c r="Y61" s="2"/>
      <c r="Z61" s="6">
        <f t="shared" si="28"/>
        <v>-1.8176457015617899E-2</v>
      </c>
    </row>
    <row r="62" spans="1:26" s="24" customFormat="1" hidden="1" outlineLevel="2" x14ac:dyDescent="0.3">
      <c r="A62" s="27"/>
      <c r="B62" s="11" t="str">
        <f>CONCATENATE("          ", "6112", " - ", "COMPENSATION INSURANCE")</f>
        <v xml:space="preserve">          6112 - COMPENSATION INSURANCE</v>
      </c>
      <c r="C62" s="11"/>
      <c r="D62" s="7">
        <v>363.33</v>
      </c>
      <c r="E62" s="2"/>
      <c r="F62" s="6">
        <f t="shared" si="21"/>
        <v>7.5253689938020556E-4</v>
      </c>
      <c r="G62" s="2"/>
      <c r="H62" s="7">
        <v>-125.07</v>
      </c>
      <c r="I62" s="2"/>
      <c r="J62" s="6">
        <f t="shared" si="22"/>
        <v>-1.7668211915926939E-4</v>
      </c>
      <c r="K62" s="2"/>
      <c r="L62" s="7">
        <f t="shared" si="23"/>
        <v>488.4</v>
      </c>
      <c r="M62" s="2"/>
      <c r="N62" s="6">
        <f t="shared" si="24"/>
        <v>-3.9050131926121372</v>
      </c>
      <c r="O62" s="11"/>
      <c r="P62" s="7">
        <v>2912.05</v>
      </c>
      <c r="Q62" s="2"/>
      <c r="R62" s="6">
        <f t="shared" si="25"/>
        <v>1.8805388570906194E-3</v>
      </c>
      <c r="S62" s="2"/>
      <c r="T62" s="7">
        <v>856.97</v>
      </c>
      <c r="U62" s="2"/>
      <c r="V62" s="6">
        <f t="shared" si="26"/>
        <v>4.7513479095042245E-4</v>
      </c>
      <c r="W62" s="2"/>
      <c r="X62" s="7">
        <f t="shared" si="27"/>
        <v>2055.08</v>
      </c>
      <c r="Y62" s="2"/>
      <c r="Z62" s="6">
        <f t="shared" si="28"/>
        <v>2.3980769455173458</v>
      </c>
    </row>
    <row r="63" spans="1:26" s="24" customFormat="1" hidden="1" outlineLevel="2" x14ac:dyDescent="0.3">
      <c r="A63" s="27"/>
      <c r="B63" s="11" t="str">
        <f>CONCATENATE("          ", "6113", " - ", "GROUP INSURANCE")</f>
        <v xml:space="preserve">          6113 - GROUP INSURANCE</v>
      </c>
      <c r="C63" s="11"/>
      <c r="D63" s="7">
        <v>4452.97</v>
      </c>
      <c r="E63" s="2"/>
      <c r="F63" s="6">
        <f t="shared" si="21"/>
        <v>9.2230871021745358E-3</v>
      </c>
      <c r="G63" s="2"/>
      <c r="H63" s="7">
        <v>4943.91</v>
      </c>
      <c r="I63" s="2"/>
      <c r="J63" s="6">
        <f t="shared" si="22"/>
        <v>6.9840928738522717E-3</v>
      </c>
      <c r="K63" s="2"/>
      <c r="L63" s="7">
        <f t="shared" si="23"/>
        <v>-490.9399999999996</v>
      </c>
      <c r="M63" s="2"/>
      <c r="N63" s="6">
        <f t="shared" si="24"/>
        <v>-9.9301969493781159E-2</v>
      </c>
      <c r="O63" s="11"/>
      <c r="P63" s="7">
        <v>32072.38</v>
      </c>
      <c r="Q63" s="2"/>
      <c r="R63" s="6">
        <f t="shared" si="25"/>
        <v>2.0711648779854756E-2</v>
      </c>
      <c r="S63" s="2"/>
      <c r="T63" s="7">
        <v>30332.13</v>
      </c>
      <c r="U63" s="2"/>
      <c r="V63" s="6">
        <f t="shared" si="26"/>
        <v>1.6817216759782767E-2</v>
      </c>
      <c r="W63" s="2"/>
      <c r="X63" s="7">
        <f t="shared" si="27"/>
        <v>1740.25</v>
      </c>
      <c r="Y63" s="2"/>
      <c r="Z63" s="6">
        <f t="shared" si="28"/>
        <v>5.7373155132857463E-2</v>
      </c>
    </row>
    <row r="64" spans="1:26" s="24" customFormat="1" hidden="1" outlineLevel="2" x14ac:dyDescent="0.3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7">
        <v>72.17</v>
      </c>
      <c r="E64" s="2"/>
      <c r="F64" s="6">
        <f t="shared" si="21"/>
        <v>1.4948005402325555E-4</v>
      </c>
      <c r="G64" s="2"/>
      <c r="H64" s="7">
        <v>149.4</v>
      </c>
      <c r="I64" s="2"/>
      <c r="J64" s="6">
        <f t="shared" si="22"/>
        <v>2.1105227954261492E-4</v>
      </c>
      <c r="K64" s="2"/>
      <c r="L64" s="7">
        <f t="shared" si="23"/>
        <v>-77.23</v>
      </c>
      <c r="M64" s="2"/>
      <c r="N64" s="6">
        <f t="shared" si="24"/>
        <v>-0.51693440428380188</v>
      </c>
      <c r="O64" s="11"/>
      <c r="P64" s="7">
        <v>577.72</v>
      </c>
      <c r="Q64" s="2"/>
      <c r="R64" s="6">
        <f t="shared" si="25"/>
        <v>3.7307907093573001E-4</v>
      </c>
      <c r="S64" s="2"/>
      <c r="T64" s="7">
        <v>532.15</v>
      </c>
      <c r="U64" s="2"/>
      <c r="V64" s="6">
        <f t="shared" si="26"/>
        <v>2.9504297583843927E-4</v>
      </c>
      <c r="W64" s="2"/>
      <c r="X64" s="7">
        <f t="shared" si="27"/>
        <v>45.57000000000005</v>
      </c>
      <c r="Y64" s="2"/>
      <c r="Z64" s="6">
        <f t="shared" si="28"/>
        <v>8.5633749882552013E-2</v>
      </c>
    </row>
    <row r="65" spans="1:26" s="24" customFormat="1" hidden="1" outlineLevel="2" x14ac:dyDescent="0.3">
      <c r="A65" s="27"/>
      <c r="B65" s="11" t="str">
        <f>CONCATENATE("          ", "6115", " - ", "P.E.R.S.")</f>
        <v xml:space="preserve">          6115 - P.E.R.S.</v>
      </c>
      <c r="C65" s="11"/>
      <c r="D65" s="7">
        <v>1671.39</v>
      </c>
      <c r="E65" s="2"/>
      <c r="F65" s="6">
        <f t="shared" si="21"/>
        <v>3.4618188650953181E-3</v>
      </c>
      <c r="G65" s="2"/>
      <c r="H65" s="7">
        <v>2689.05</v>
      </c>
      <c r="I65" s="2"/>
      <c r="J65" s="6">
        <f t="shared" si="22"/>
        <v>3.7987291318880103E-3</v>
      </c>
      <c r="K65" s="2"/>
      <c r="L65" s="7">
        <f t="shared" si="23"/>
        <v>-1017.6600000000001</v>
      </c>
      <c r="M65" s="2"/>
      <c r="N65" s="6">
        <f t="shared" si="24"/>
        <v>-0.37844591956267082</v>
      </c>
      <c r="O65" s="11"/>
      <c r="P65" s="7">
        <v>12246.12</v>
      </c>
      <c r="Q65" s="2"/>
      <c r="R65" s="6">
        <f t="shared" si="25"/>
        <v>7.9082792220581989E-3</v>
      </c>
      <c r="S65" s="2"/>
      <c r="T65" s="7">
        <v>13175.29</v>
      </c>
      <c r="U65" s="2"/>
      <c r="V65" s="6">
        <f t="shared" si="26"/>
        <v>7.304851581573674E-3</v>
      </c>
      <c r="W65" s="2"/>
      <c r="X65" s="7">
        <f t="shared" si="27"/>
        <v>-929.17000000000007</v>
      </c>
      <c r="Y65" s="2"/>
      <c r="Z65" s="6">
        <f t="shared" si="28"/>
        <v>-7.052368486765756E-2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7">
        <v>459.29</v>
      </c>
      <c r="E66" s="2"/>
      <c r="F66" s="6">
        <f t="shared" si="21"/>
        <v>9.5129131235057558E-4</v>
      </c>
      <c r="G66" s="2"/>
      <c r="H66" s="7">
        <v>297.92</v>
      </c>
      <c r="I66" s="2"/>
      <c r="J66" s="6">
        <f t="shared" si="22"/>
        <v>4.2086141312808461E-4</v>
      </c>
      <c r="K66" s="2"/>
      <c r="L66" s="7">
        <f t="shared" si="23"/>
        <v>161.37</v>
      </c>
      <c r="M66" s="2"/>
      <c r="N66" s="6">
        <f t="shared" si="24"/>
        <v>0.54165547798066593</v>
      </c>
      <c r="O66" s="11"/>
      <c r="P66" s="7">
        <v>2267.2399999999998</v>
      </c>
      <c r="Q66" s="2"/>
      <c r="R66" s="6">
        <f t="shared" si="25"/>
        <v>1.4641345163545047E-3</v>
      </c>
      <c r="S66" s="2"/>
      <c r="T66" s="7">
        <v>1842.08</v>
      </c>
      <c r="U66" s="2"/>
      <c r="V66" s="6">
        <f t="shared" si="26"/>
        <v>1.0213149768532786E-3</v>
      </c>
      <c r="W66" s="2"/>
      <c r="X66" s="7">
        <f t="shared" si="27"/>
        <v>425.15999999999985</v>
      </c>
      <c r="Y66" s="2"/>
      <c r="Z66" s="6">
        <f t="shared" si="28"/>
        <v>0.23080430817336917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7">
        <v>2447.1999999999998</v>
      </c>
      <c r="E67" s="2"/>
      <c r="F67" s="6">
        <f t="shared" si="21"/>
        <v>5.06869319946946E-3</v>
      </c>
      <c r="G67" s="2"/>
      <c r="H67" s="7">
        <v>1526.05</v>
      </c>
      <c r="I67" s="2"/>
      <c r="J67" s="6">
        <f t="shared" si="22"/>
        <v>2.1557987362517237E-3</v>
      </c>
      <c r="K67" s="2"/>
      <c r="L67" s="7">
        <f t="shared" si="23"/>
        <v>921.14999999999986</v>
      </c>
      <c r="M67" s="2"/>
      <c r="N67" s="6">
        <f t="shared" si="24"/>
        <v>0.60361718161266009</v>
      </c>
      <c r="O67" s="11"/>
      <c r="P67" s="7">
        <v>11680.88</v>
      </c>
      <c r="Q67" s="2"/>
      <c r="R67" s="6">
        <f t="shared" si="25"/>
        <v>7.5432594649860654E-3</v>
      </c>
      <c r="S67" s="2"/>
      <c r="T67" s="7">
        <v>9302.7000000000007</v>
      </c>
      <c r="U67" s="2"/>
      <c r="V67" s="6">
        <f t="shared" si="26"/>
        <v>5.157749302512918E-3</v>
      </c>
      <c r="W67" s="2"/>
      <c r="X67" s="7">
        <f t="shared" si="27"/>
        <v>2378.1799999999985</v>
      </c>
      <c r="Y67" s="2"/>
      <c r="Z67" s="6">
        <f t="shared" si="28"/>
        <v>0.25564406032657166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7">
        <v>3712.89</v>
      </c>
      <c r="E68" s="2"/>
      <c r="F68" s="6">
        <f t="shared" si="21"/>
        <v>7.6902175111875472E-3</v>
      </c>
      <c r="G68" s="2"/>
      <c r="H68" s="7">
        <v>1147.56</v>
      </c>
      <c r="I68" s="2"/>
      <c r="J68" s="6">
        <f t="shared" si="22"/>
        <v>1.6211188347518286E-3</v>
      </c>
      <c r="K68" s="2"/>
      <c r="L68" s="7">
        <f t="shared" si="23"/>
        <v>2565.33</v>
      </c>
      <c r="M68" s="2"/>
      <c r="N68" s="6">
        <f t="shared" si="24"/>
        <v>2.2354648122973964</v>
      </c>
      <c r="O68" s="11"/>
      <c r="P68" s="7">
        <v>10765.91</v>
      </c>
      <c r="Q68" s="2"/>
      <c r="R68" s="6">
        <f t="shared" si="25"/>
        <v>6.9523916440103941E-3</v>
      </c>
      <c r="S68" s="2"/>
      <c r="T68" s="7">
        <v>7591.9</v>
      </c>
      <c r="U68" s="2"/>
      <c r="V68" s="6">
        <f t="shared" si="26"/>
        <v>4.2092206488167751E-3</v>
      </c>
      <c r="W68" s="2"/>
      <c r="X68" s="7">
        <f t="shared" si="27"/>
        <v>3174.01</v>
      </c>
      <c r="Y68" s="2"/>
      <c r="Z68" s="6">
        <f t="shared" si="28"/>
        <v>0.41807847837827161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7">
        <v>1037.3900000000001</v>
      </c>
      <c r="E69" s="2"/>
      <c r="F69" s="6">
        <f t="shared" si="21"/>
        <v>2.1486644484298889E-3</v>
      </c>
      <c r="G69" s="2"/>
      <c r="H69" s="7">
        <v>222.83</v>
      </c>
      <c r="I69" s="2"/>
      <c r="J69" s="6">
        <f t="shared" si="22"/>
        <v>3.1478433367122414E-4</v>
      </c>
      <c r="K69" s="2"/>
      <c r="L69" s="7">
        <f t="shared" si="23"/>
        <v>814.56000000000006</v>
      </c>
      <c r="M69" s="2"/>
      <c r="N69" s="6">
        <f t="shared" si="24"/>
        <v>3.6555221469281514</v>
      </c>
      <c r="O69" s="11"/>
      <c r="P69" s="7">
        <v>5779.1</v>
      </c>
      <c r="Q69" s="2"/>
      <c r="R69" s="6">
        <f t="shared" si="25"/>
        <v>3.7320176882307647E-3</v>
      </c>
      <c r="S69" s="2"/>
      <c r="T69" s="7">
        <v>3038.38</v>
      </c>
      <c r="U69" s="2"/>
      <c r="V69" s="6">
        <f t="shared" si="26"/>
        <v>1.6845864454157608E-3</v>
      </c>
      <c r="W69" s="2"/>
      <c r="X69" s="7">
        <f t="shared" si="27"/>
        <v>2740.7200000000003</v>
      </c>
      <c r="Y69" s="2"/>
      <c r="Z69" s="6">
        <f t="shared" si="28"/>
        <v>0.90203332038783834</v>
      </c>
    </row>
    <row r="70" spans="1:26" s="29" customFormat="1" outlineLevel="1" collapsed="1" x14ac:dyDescent="0.3">
      <c r="A70" s="28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32963.040000000001</v>
      </c>
      <c r="E70" s="1"/>
      <c r="F70" s="5">
        <f t="shared" ref="F70:F77" si="29">IF(D$12=0,0,D70/D$12)</f>
        <v>6.8273756408074454E-2</v>
      </c>
      <c r="G70" s="1"/>
      <c r="H70" s="1">
        <f>SUM(OSRRefH22_1x_0)</f>
        <v>38361.300000000003</v>
      </c>
      <c r="I70" s="1"/>
      <c r="J70" s="5">
        <f t="shared" ref="J70:J77" si="30">IF(H$12=0,0,H70/H$12)</f>
        <v>5.4191698870268507E-2</v>
      </c>
      <c r="K70" s="1"/>
      <c r="L70" s="1">
        <f t="shared" ref="L70:L77" si="31">+D70-H70</f>
        <v>-5398.260000000002</v>
      </c>
      <c r="M70" s="1"/>
      <c r="N70" s="5">
        <f t="shared" ref="N70:N77" si="32">IF(H70=0,0,L70/H70)</f>
        <v>-0.14072150839517955</v>
      </c>
      <c r="O70" s="14"/>
      <c r="P70" s="1">
        <f>SUM(OSRRefP22_1x_0)</f>
        <v>208144.95</v>
      </c>
      <c r="Q70" s="1"/>
      <c r="R70" s="5">
        <f t="shared" ref="R70:R77" si="33">IF(P$12=0,0,P70/P$12)</f>
        <v>0.13441550329911373</v>
      </c>
      <c r="S70" s="1"/>
      <c r="T70" s="1">
        <f>SUM(OSRRefT22_1x_0)</f>
        <v>203768.37</v>
      </c>
      <c r="U70" s="1"/>
      <c r="V70" s="5">
        <f t="shared" ref="V70:V77" si="34">IF(T$12=0,0,T70/T$12)</f>
        <v>0.11297646578323434</v>
      </c>
      <c r="W70" s="1"/>
      <c r="X70" s="1">
        <f t="shared" ref="X70:X77" si="35">+P70-T70</f>
        <v>4376.5800000000163</v>
      </c>
      <c r="Y70" s="1"/>
      <c r="Z70" s="5">
        <f t="shared" ref="Z70:Z77" si="36">IF(T70=0,0,X70/T70)</f>
        <v>2.1478210774321924E-2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9"/>
        <v>0</v>
      </c>
      <c r="G71" s="2"/>
      <c r="H71" s="7"/>
      <c r="I71" s="2"/>
      <c r="J71" s="6">
        <f t="shared" si="30"/>
        <v>0</v>
      </c>
      <c r="K71" s="2"/>
      <c r="L71" s="7">
        <f t="shared" si="31"/>
        <v>0</v>
      </c>
      <c r="M71" s="2"/>
      <c r="N71" s="6">
        <f t="shared" si="32"/>
        <v>0</v>
      </c>
      <c r="O71" s="11"/>
      <c r="P71" s="7"/>
      <c r="Q71" s="2"/>
      <c r="R71" s="6">
        <f t="shared" si="33"/>
        <v>0</v>
      </c>
      <c r="S71" s="2"/>
      <c r="T71" s="7">
        <v>-311.32</v>
      </c>
      <c r="U71" s="2"/>
      <c r="V71" s="6">
        <f t="shared" si="34"/>
        <v>-1.7260693270322824E-4</v>
      </c>
      <c r="W71" s="2"/>
      <c r="X71" s="7">
        <f t="shared" si="35"/>
        <v>311.32</v>
      </c>
      <c r="Y71" s="2"/>
      <c r="Z71" s="6">
        <f t="shared" si="36"/>
        <v>-1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7">
        <v>20995.06</v>
      </c>
      <c r="E72" s="2"/>
      <c r="F72" s="6">
        <f t="shared" si="29"/>
        <v>4.3485419191097295E-2</v>
      </c>
      <c r="G72" s="2"/>
      <c r="H72" s="7">
        <v>24862.47</v>
      </c>
      <c r="I72" s="2"/>
      <c r="J72" s="6">
        <f t="shared" si="30"/>
        <v>3.5122362574028634E-2</v>
      </c>
      <c r="K72" s="2"/>
      <c r="L72" s="7">
        <f t="shared" si="31"/>
        <v>-3867.41</v>
      </c>
      <c r="M72" s="2"/>
      <c r="N72" s="6">
        <f t="shared" si="32"/>
        <v>-0.15555212334092308</v>
      </c>
      <c r="O72" s="11"/>
      <c r="P72" s="7">
        <v>123203.56</v>
      </c>
      <c r="Q72" s="2"/>
      <c r="R72" s="6">
        <f t="shared" si="33"/>
        <v>7.9562192239795174E-2</v>
      </c>
      <c r="S72" s="2"/>
      <c r="T72" s="7">
        <v>121360.67</v>
      </c>
      <c r="U72" s="2"/>
      <c r="V72" s="6">
        <f t="shared" si="34"/>
        <v>6.7286692147978583E-2</v>
      </c>
      <c r="W72" s="2"/>
      <c r="X72" s="7">
        <f t="shared" si="35"/>
        <v>1842.8899999999994</v>
      </c>
      <c r="Y72" s="2"/>
      <c r="Z72" s="6">
        <f t="shared" si="36"/>
        <v>1.5185232579879457E-2</v>
      </c>
    </row>
    <row r="73" spans="1:26" s="24" customFormat="1" hidden="1" outlineLevel="2" x14ac:dyDescent="0.3">
      <c r="A73" s="27"/>
      <c r="B73" s="11" t="str">
        <f>CONCATENATE("          ", "6004", " - ", "STAFF HOURLY")</f>
        <v xml:space="preserve">          6004 - STAFF HOURLY</v>
      </c>
      <c r="C73" s="11"/>
      <c r="D73" s="7">
        <v>6871.75</v>
      </c>
      <c r="E73" s="2"/>
      <c r="F73" s="6">
        <f t="shared" si="29"/>
        <v>1.4232916187256564E-2</v>
      </c>
      <c r="G73" s="2"/>
      <c r="H73" s="7">
        <v>8056.36</v>
      </c>
      <c r="I73" s="2"/>
      <c r="J73" s="6">
        <f t="shared" si="30"/>
        <v>1.1380944731030396E-2</v>
      </c>
      <c r="K73" s="2"/>
      <c r="L73" s="7">
        <f t="shared" si="31"/>
        <v>-1184.6099999999997</v>
      </c>
      <c r="M73" s="2"/>
      <c r="N73" s="6">
        <f t="shared" si="32"/>
        <v>-0.14704035072911337</v>
      </c>
      <c r="O73" s="11"/>
      <c r="P73" s="7">
        <v>42434.879999999997</v>
      </c>
      <c r="Q73" s="2"/>
      <c r="R73" s="6">
        <f t="shared" si="33"/>
        <v>2.7403526977894464E-2</v>
      </c>
      <c r="S73" s="2"/>
      <c r="T73" s="7">
        <v>47894.41</v>
      </c>
      <c r="U73" s="2"/>
      <c r="V73" s="6">
        <f t="shared" si="34"/>
        <v>2.6554372361977458E-2</v>
      </c>
      <c r="W73" s="2"/>
      <c r="X73" s="7">
        <f t="shared" si="35"/>
        <v>-5459.5300000000061</v>
      </c>
      <c r="Y73" s="2"/>
      <c r="Z73" s="6">
        <f t="shared" si="36"/>
        <v>-0.11399096470757246</v>
      </c>
    </row>
    <row r="74" spans="1:26" s="24" customFormat="1" hidden="1" outlineLevel="2" x14ac:dyDescent="0.3">
      <c r="A74" s="27"/>
      <c r="B74" s="11" t="str">
        <f>CONCATENATE("          ", "6005", " - ", "TEMPORARY WAGES-HOURLY")</f>
        <v xml:space="preserve">          6005 - TEMPORARY WAGES-HOURLY</v>
      </c>
      <c r="C74" s="11"/>
      <c r="D74" s="7"/>
      <c r="E74" s="2"/>
      <c r="F74" s="6">
        <f t="shared" si="29"/>
        <v>0</v>
      </c>
      <c r="G74" s="2"/>
      <c r="H74" s="7"/>
      <c r="I74" s="2"/>
      <c r="J74" s="6">
        <f t="shared" si="30"/>
        <v>0</v>
      </c>
      <c r="K74" s="2"/>
      <c r="L74" s="7">
        <f t="shared" si="31"/>
        <v>0</v>
      </c>
      <c r="M74" s="2"/>
      <c r="N74" s="6">
        <f t="shared" si="32"/>
        <v>0</v>
      </c>
      <c r="O74" s="11"/>
      <c r="P74" s="7">
        <v>14698.31</v>
      </c>
      <c r="Q74" s="2"/>
      <c r="R74" s="6">
        <f t="shared" si="33"/>
        <v>9.4918504450691513E-3</v>
      </c>
      <c r="S74" s="2"/>
      <c r="T74" s="7">
        <v>12838</v>
      </c>
      <c r="U74" s="2"/>
      <c r="V74" s="6">
        <f t="shared" si="34"/>
        <v>7.117845952858937E-3</v>
      </c>
      <c r="W74" s="2"/>
      <c r="X74" s="7">
        <f t="shared" si="35"/>
        <v>1860.3099999999995</v>
      </c>
      <c r="Y74" s="2"/>
      <c r="Z74" s="6">
        <f t="shared" si="36"/>
        <v>0.14490652749649474</v>
      </c>
    </row>
    <row r="75" spans="1:26" s="24" customFormat="1" hidden="1" outlineLevel="2" x14ac:dyDescent="0.3">
      <c r="A75" s="27"/>
      <c r="B75" s="11" t="str">
        <f>CONCATENATE("          ", "6006", " - ", "TEMPORARY PART TIME")</f>
        <v xml:space="preserve">          6006 - TEMPORARY PART TIME</v>
      </c>
      <c r="C75" s="11"/>
      <c r="D75" s="7"/>
      <c r="E75" s="2"/>
      <c r="F75" s="6">
        <f t="shared" si="29"/>
        <v>0</v>
      </c>
      <c r="G75" s="2"/>
      <c r="H75" s="7"/>
      <c r="I75" s="2"/>
      <c r="J75" s="6">
        <f t="shared" si="30"/>
        <v>0</v>
      </c>
      <c r="K75" s="2"/>
      <c r="L75" s="7">
        <f t="shared" si="31"/>
        <v>0</v>
      </c>
      <c r="M75" s="2"/>
      <c r="N75" s="6">
        <f t="shared" si="32"/>
        <v>0</v>
      </c>
      <c r="O75" s="11"/>
      <c r="P75" s="7"/>
      <c r="Q75" s="2"/>
      <c r="R75" s="6">
        <f t="shared" si="33"/>
        <v>0</v>
      </c>
      <c r="S75" s="2"/>
      <c r="T75" s="7">
        <v>502.29</v>
      </c>
      <c r="U75" s="2"/>
      <c r="V75" s="6">
        <f t="shared" si="34"/>
        <v>2.7848752482174136E-4</v>
      </c>
      <c r="W75" s="2"/>
      <c r="X75" s="7">
        <f t="shared" si="35"/>
        <v>-502.29</v>
      </c>
      <c r="Y75" s="2"/>
      <c r="Z75" s="6">
        <f t="shared" si="36"/>
        <v>-1</v>
      </c>
    </row>
    <row r="76" spans="1:26" s="24" customFormat="1" hidden="1" outlineLevel="2" x14ac:dyDescent="0.3">
      <c r="A76" s="27"/>
      <c r="B76" s="11" t="str">
        <f>CONCATENATE("          ", "6007", " - ", "STUDENT HOURLY")</f>
        <v xml:space="preserve">          6007 - STUDENT HOURLY</v>
      </c>
      <c r="C76" s="11"/>
      <c r="D76" s="7">
        <v>5096.2299999999996</v>
      </c>
      <c r="E76" s="2"/>
      <c r="F76" s="6">
        <f t="shared" si="29"/>
        <v>1.0555421029720598E-2</v>
      </c>
      <c r="G76" s="2"/>
      <c r="H76" s="7">
        <v>4760.1099999999997</v>
      </c>
      <c r="I76" s="2"/>
      <c r="J76" s="6">
        <f t="shared" si="30"/>
        <v>6.7244448887121598E-3</v>
      </c>
      <c r="K76" s="2"/>
      <c r="L76" s="7">
        <f t="shared" si="31"/>
        <v>336.11999999999989</v>
      </c>
      <c r="M76" s="2"/>
      <c r="N76" s="6">
        <f t="shared" si="32"/>
        <v>7.061181359254301E-2</v>
      </c>
      <c r="O76" s="11"/>
      <c r="P76" s="7">
        <v>23841.72</v>
      </c>
      <c r="Q76" s="2"/>
      <c r="R76" s="6">
        <f t="shared" si="33"/>
        <v>1.5396466708976344E-2</v>
      </c>
      <c r="S76" s="2"/>
      <c r="T76" s="7">
        <v>20801.96</v>
      </c>
      <c r="U76" s="2"/>
      <c r="V76" s="6">
        <f t="shared" si="34"/>
        <v>1.1533349960860998E-2</v>
      </c>
      <c r="W76" s="2"/>
      <c r="X76" s="7">
        <f t="shared" si="35"/>
        <v>3039.760000000002</v>
      </c>
      <c r="Y76" s="2"/>
      <c r="Z76" s="6">
        <f t="shared" si="36"/>
        <v>0.14612853788777605</v>
      </c>
    </row>
    <row r="77" spans="1:26" s="24" customFormat="1" hidden="1" outlineLevel="2" x14ac:dyDescent="0.3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9"/>
        <v>0</v>
      </c>
      <c r="G77" s="2"/>
      <c r="H77" s="7">
        <v>682.36</v>
      </c>
      <c r="I77" s="2"/>
      <c r="J77" s="6">
        <f t="shared" si="30"/>
        <v>9.6394667649731414E-4</v>
      </c>
      <c r="K77" s="2"/>
      <c r="L77" s="7">
        <f t="shared" si="31"/>
        <v>-682.36</v>
      </c>
      <c r="M77" s="2"/>
      <c r="N77" s="6">
        <f t="shared" si="32"/>
        <v>-1</v>
      </c>
      <c r="O77" s="11"/>
      <c r="P77" s="7">
        <v>3966.48</v>
      </c>
      <c r="Q77" s="2"/>
      <c r="R77" s="6">
        <f t="shared" si="33"/>
        <v>2.561466927378582E-3</v>
      </c>
      <c r="S77" s="2"/>
      <c r="T77" s="7">
        <v>682.36</v>
      </c>
      <c r="U77" s="2"/>
      <c r="V77" s="6">
        <f t="shared" si="34"/>
        <v>3.7832476743985237E-4</v>
      </c>
      <c r="W77" s="2"/>
      <c r="X77" s="7">
        <f t="shared" si="35"/>
        <v>3284.12</v>
      </c>
      <c r="Y77" s="2"/>
      <c r="Z77" s="6">
        <f t="shared" si="36"/>
        <v>4.8128846942962653</v>
      </c>
    </row>
    <row r="78" spans="1:26" s="29" customFormat="1" outlineLevel="1" collapsed="1" x14ac:dyDescent="0.3">
      <c r="A78" s="28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</v>
      </c>
      <c r="E78" s="1"/>
      <c r="F78" s="5">
        <f t="shared" ref="F78:F82" si="37">IF(D$12=0,0,D78/D$12)</f>
        <v>0</v>
      </c>
      <c r="G78" s="1"/>
      <c r="H78" s="1">
        <f>SUM(OSRRefH22_2x_0)</f>
        <v>569.11</v>
      </c>
      <c r="I78" s="1"/>
      <c r="J78" s="5">
        <f t="shared" ref="J78:J82" si="38">IF(H$12=0,0,H78/H$12)</f>
        <v>8.0396226780788207E-4</v>
      </c>
      <c r="K78" s="1"/>
      <c r="L78" s="1">
        <f t="shared" ref="L78:L82" si="39">+D78-H78</f>
        <v>-569.11</v>
      </c>
      <c r="M78" s="1"/>
      <c r="N78" s="5">
        <f t="shared" ref="N78:N82" si="40">IF(H78=0,0,L78/H78)</f>
        <v>-1</v>
      </c>
      <c r="O78" s="14"/>
      <c r="P78" s="1">
        <f>SUM(OSRRefP22_2x_0)</f>
        <v>797.25</v>
      </c>
      <c r="Q78" s="1"/>
      <c r="R78" s="5">
        <f t="shared" ref="R78:R82" si="41">IF(P$12=0,0,P78/P$12)</f>
        <v>5.1484679308923134E-4</v>
      </c>
      <c r="S78" s="1"/>
      <c r="T78" s="1">
        <f>SUM(OSRRefT22_2x_0)</f>
        <v>1999.55</v>
      </c>
      <c r="U78" s="1"/>
      <c r="V78" s="5">
        <f t="shared" ref="V78:V82" si="42">IF(T$12=0,0,T78/T$12)</f>
        <v>1.1086219718833999E-3</v>
      </c>
      <c r="W78" s="1"/>
      <c r="X78" s="1">
        <f t="shared" ref="X78:X82" si="43">+P78-T78</f>
        <v>-1202.3</v>
      </c>
      <c r="Y78" s="1"/>
      <c r="Z78" s="5">
        <f t="shared" ref="Z78:Z82" si="44">IF(T78=0,0,X78/T78)</f>
        <v>-0.60128528919006774</v>
      </c>
    </row>
    <row r="79" spans="1:26" s="24" customFormat="1" hidden="1" outlineLevel="2" x14ac:dyDescent="0.3">
      <c r="A79" s="27"/>
      <c r="B79" s="11" t="str">
        <f>CONCATENATE("          ", "6362", " - ", "ADVERTISING EXPENSE")</f>
        <v xml:space="preserve">          6362 - ADVERTISING EXPENSE</v>
      </c>
      <c r="C79" s="11"/>
      <c r="D79" s="7"/>
      <c r="E79" s="2"/>
      <c r="F79" s="6">
        <f t="shared" si="37"/>
        <v>0</v>
      </c>
      <c r="G79" s="2"/>
      <c r="H79" s="7">
        <v>569.11</v>
      </c>
      <c r="I79" s="2"/>
      <c r="J79" s="6">
        <f t="shared" si="38"/>
        <v>8.0396226780788207E-4</v>
      </c>
      <c r="K79" s="2"/>
      <c r="L79" s="7">
        <f t="shared" si="39"/>
        <v>-569.11</v>
      </c>
      <c r="M79" s="2"/>
      <c r="N79" s="6">
        <f t="shared" si="40"/>
        <v>-1</v>
      </c>
      <c r="O79" s="11"/>
      <c r="P79" s="7">
        <v>797.25</v>
      </c>
      <c r="Q79" s="2"/>
      <c r="R79" s="6">
        <f t="shared" si="41"/>
        <v>5.1484679308923134E-4</v>
      </c>
      <c r="S79" s="2"/>
      <c r="T79" s="7">
        <v>1999.55</v>
      </c>
      <c r="U79" s="2"/>
      <c r="V79" s="6">
        <f t="shared" si="42"/>
        <v>1.1086219718833999E-3</v>
      </c>
      <c r="W79" s="2"/>
      <c r="X79" s="7">
        <f t="shared" si="43"/>
        <v>-1202.3</v>
      </c>
      <c r="Y79" s="2"/>
      <c r="Z79" s="6">
        <f t="shared" si="44"/>
        <v>-0.60128528919006774</v>
      </c>
    </row>
    <row r="80" spans="1:26" s="29" customFormat="1" outlineLevel="1" collapsed="1" x14ac:dyDescent="0.3">
      <c r="A80" s="28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1.35</v>
      </c>
      <c r="E80" s="1"/>
      <c r="F80" s="5">
        <f t="shared" si="37"/>
        <v>2.7961489944768603E-6</v>
      </c>
      <c r="G80" s="1"/>
      <c r="H80" s="1">
        <f>SUM(OSRRefH22_3x_0)</f>
        <v>-42.86</v>
      </c>
      <c r="I80" s="1"/>
      <c r="J80" s="5">
        <f t="shared" si="38"/>
        <v>-6.0546858776415498E-5</v>
      </c>
      <c r="K80" s="1"/>
      <c r="L80" s="1">
        <f t="shared" si="39"/>
        <v>44.21</v>
      </c>
      <c r="M80" s="1"/>
      <c r="N80" s="5">
        <f t="shared" si="40"/>
        <v>-1.0314979001399907</v>
      </c>
      <c r="O80" s="14"/>
      <c r="P80" s="1">
        <f>SUM(OSRRefP22_3x_0)</f>
        <v>1.35</v>
      </c>
      <c r="Q80" s="1"/>
      <c r="R80" s="5">
        <f t="shared" si="41"/>
        <v>8.718007785142206E-7</v>
      </c>
      <c r="S80" s="1"/>
      <c r="T80" s="1">
        <f>SUM(OSRRefT22_3x_0)</f>
        <v>-42.86</v>
      </c>
      <c r="U80" s="1"/>
      <c r="V80" s="5">
        <f t="shared" si="42"/>
        <v>-2.3763115558461914E-5</v>
      </c>
      <c r="W80" s="1"/>
      <c r="X80" s="1">
        <f t="shared" si="43"/>
        <v>44.21</v>
      </c>
      <c r="Y80" s="1"/>
      <c r="Z80" s="5">
        <f t="shared" si="44"/>
        <v>-1.0314979001399907</v>
      </c>
    </row>
    <row r="81" spans="1:26" s="24" customFormat="1" hidden="1" outlineLevel="2" x14ac:dyDescent="0.3">
      <c r="A81" s="27"/>
      <c r="B81" s="11" t="str">
        <f>CONCATENATE("          ", "6382", " - ", "DISCOUNTS/MARK DOWNS")</f>
        <v xml:space="preserve">          6382 - DISCOUNTS/MARK DOWNS</v>
      </c>
      <c r="C81" s="11"/>
      <c r="D81" s="7">
        <v>1.35</v>
      </c>
      <c r="E81" s="2"/>
      <c r="F81" s="6">
        <f t="shared" si="37"/>
        <v>2.7961489944768603E-6</v>
      </c>
      <c r="G81" s="2"/>
      <c r="H81" s="7">
        <v>0</v>
      </c>
      <c r="I81" s="2"/>
      <c r="J81" s="6">
        <f t="shared" si="38"/>
        <v>0</v>
      </c>
      <c r="K81" s="2"/>
      <c r="L81" s="7">
        <f t="shared" si="39"/>
        <v>1.35</v>
      </c>
      <c r="M81" s="2"/>
      <c r="N81" s="6">
        <f t="shared" si="40"/>
        <v>0</v>
      </c>
      <c r="O81" s="11"/>
      <c r="P81" s="7">
        <v>1.35</v>
      </c>
      <c r="Q81" s="2"/>
      <c r="R81" s="6">
        <f t="shared" si="41"/>
        <v>8.718007785142206E-7</v>
      </c>
      <c r="S81" s="2"/>
      <c r="T81" s="7">
        <v>0</v>
      </c>
      <c r="U81" s="2"/>
      <c r="V81" s="6">
        <f t="shared" si="42"/>
        <v>0</v>
      </c>
      <c r="W81" s="2"/>
      <c r="X81" s="7">
        <f t="shared" si="43"/>
        <v>1.35</v>
      </c>
      <c r="Y81" s="2"/>
      <c r="Z81" s="6">
        <f t="shared" si="44"/>
        <v>0</v>
      </c>
    </row>
    <row r="82" spans="1:26" s="24" customFormat="1" hidden="1" outlineLevel="2" x14ac:dyDescent="0.3">
      <c r="A82" s="27"/>
      <c r="B82" s="11" t="str">
        <f>CONCATENATE("          ", "9175", " - ", "EARNED DISCOUNTS")</f>
        <v xml:space="preserve">          9175 - EARNED DISCOUNTS</v>
      </c>
      <c r="C82" s="11"/>
      <c r="D82" s="7"/>
      <c r="E82" s="2"/>
      <c r="F82" s="6">
        <f t="shared" si="37"/>
        <v>0</v>
      </c>
      <c r="G82" s="2"/>
      <c r="H82" s="7">
        <v>-42.86</v>
      </c>
      <c r="I82" s="2"/>
      <c r="J82" s="6">
        <f t="shared" si="38"/>
        <v>-6.0546858776415498E-5</v>
      </c>
      <c r="K82" s="2"/>
      <c r="L82" s="7">
        <f t="shared" si="39"/>
        <v>42.86</v>
      </c>
      <c r="M82" s="2"/>
      <c r="N82" s="6">
        <f t="shared" si="40"/>
        <v>-1</v>
      </c>
      <c r="O82" s="11"/>
      <c r="P82" s="7"/>
      <c r="Q82" s="2"/>
      <c r="R82" s="6">
        <f t="shared" si="41"/>
        <v>0</v>
      </c>
      <c r="S82" s="2"/>
      <c r="T82" s="7">
        <v>-42.86</v>
      </c>
      <c r="U82" s="2"/>
      <c r="V82" s="6">
        <f t="shared" si="42"/>
        <v>-2.3763115558461914E-5</v>
      </c>
      <c r="W82" s="2"/>
      <c r="X82" s="7">
        <f t="shared" si="43"/>
        <v>42.86</v>
      </c>
      <c r="Y82" s="2"/>
      <c r="Z82" s="6">
        <f t="shared" si="44"/>
        <v>-1</v>
      </c>
    </row>
    <row r="83" spans="1:26" s="29" customFormat="1" outlineLevel="1" collapsed="1" x14ac:dyDescent="0.3">
      <c r="A83" s="28"/>
      <c r="B83" s="14" t="str">
        <f>CONCATENATE("     ","Employees' Appreciation                           ")</f>
        <v xml:space="preserve">     Employees' Appreciation                           </v>
      </c>
      <c r="C83" s="14"/>
      <c r="D83" s="1">
        <f>SUM(OSRRefD22_4x_0)</f>
        <v>0</v>
      </c>
      <c r="E83" s="1"/>
      <c r="F83" s="5">
        <f t="shared" ref="F83:F89" si="45">IF(D$12=0,0,D83/D$12)</f>
        <v>0</v>
      </c>
      <c r="G83" s="1"/>
      <c r="H83" s="1">
        <f>SUM(OSRRefH22_4x_0)</f>
        <v>0</v>
      </c>
      <c r="I83" s="1"/>
      <c r="J83" s="5">
        <f t="shared" ref="J83:J89" si="46">IF(H$12=0,0,H83/H$12)</f>
        <v>0</v>
      </c>
      <c r="K83" s="1"/>
      <c r="L83" s="1">
        <f t="shared" ref="L83:L89" si="47">+D83-H83</f>
        <v>0</v>
      </c>
      <c r="M83" s="1"/>
      <c r="N83" s="5">
        <f t="shared" ref="N83:N89" si="48">IF(H83=0,0,L83/H83)</f>
        <v>0</v>
      </c>
      <c r="O83" s="14"/>
      <c r="P83" s="1">
        <f>SUM(OSRRefP22_4x_0)</f>
        <v>0</v>
      </c>
      <c r="Q83" s="1"/>
      <c r="R83" s="5">
        <f t="shared" ref="R83:R89" si="49">IF(P$12=0,0,P83/P$12)</f>
        <v>0</v>
      </c>
      <c r="S83" s="1"/>
      <c r="T83" s="1">
        <f>SUM(OSRRefT22_4x_0)</f>
        <v>107.7</v>
      </c>
      <c r="U83" s="1"/>
      <c r="V83" s="5">
        <f t="shared" ref="V83:V89" si="50">IF(T$12=0,0,T83/T$12)</f>
        <v>5.9712728549844802E-5</v>
      </c>
      <c r="W83" s="1"/>
      <c r="X83" s="1">
        <f t="shared" ref="X83:X89" si="51">+P83-T83</f>
        <v>-107.7</v>
      </c>
      <c r="Y83" s="1"/>
      <c r="Z83" s="5">
        <f t="shared" ref="Z83:Z89" si="52">IF(T83=0,0,X83/T83)</f>
        <v>-1</v>
      </c>
    </row>
    <row r="84" spans="1:26" s="24" customFormat="1" hidden="1" outlineLevel="2" x14ac:dyDescent="0.3">
      <c r="A84" s="27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45"/>
        <v>0</v>
      </c>
      <c r="G84" s="2"/>
      <c r="H84" s="7"/>
      <c r="I84" s="2"/>
      <c r="J84" s="6">
        <f t="shared" si="46"/>
        <v>0</v>
      </c>
      <c r="K84" s="2"/>
      <c r="L84" s="7">
        <f t="shared" si="47"/>
        <v>0</v>
      </c>
      <c r="M84" s="2"/>
      <c r="N84" s="6">
        <f t="shared" si="48"/>
        <v>0</v>
      </c>
      <c r="O84" s="11"/>
      <c r="P84" s="7"/>
      <c r="Q84" s="2"/>
      <c r="R84" s="6">
        <f t="shared" si="49"/>
        <v>0</v>
      </c>
      <c r="S84" s="2"/>
      <c r="T84" s="7">
        <v>107.7</v>
      </c>
      <c r="U84" s="2"/>
      <c r="V84" s="6">
        <f t="shared" si="50"/>
        <v>5.9712728549844802E-5</v>
      </c>
      <c r="W84" s="2"/>
      <c r="X84" s="7">
        <f t="shared" si="51"/>
        <v>-107.7</v>
      </c>
      <c r="Y84" s="2"/>
      <c r="Z84" s="6">
        <f t="shared" si="52"/>
        <v>-1</v>
      </c>
    </row>
    <row r="85" spans="1:26" s="29" customFormat="1" outlineLevel="1" collapsed="1" x14ac:dyDescent="0.3">
      <c r="A85" s="28"/>
      <c r="B85" s="14" t="str">
        <f>CONCATENATE("     ","Equipment Rental                                  ")</f>
        <v xml:space="preserve">     Equipment Rental                                  </v>
      </c>
      <c r="C85" s="14"/>
      <c r="D85" s="1">
        <f>SUM(OSRRefD22_5x_0)</f>
        <v>91.26</v>
      </c>
      <c r="E85" s="1"/>
      <c r="F85" s="5">
        <f t="shared" si="45"/>
        <v>1.8901967202663574E-4</v>
      </c>
      <c r="G85" s="1"/>
      <c r="H85" s="1">
        <f>SUM(OSRRefH22_5x_0)</f>
        <v>91.26</v>
      </c>
      <c r="I85" s="1"/>
      <c r="J85" s="5">
        <f t="shared" si="46"/>
        <v>1.2891988641940456E-4</v>
      </c>
      <c r="K85" s="1"/>
      <c r="L85" s="1">
        <f t="shared" si="47"/>
        <v>0</v>
      </c>
      <c r="M85" s="1"/>
      <c r="N85" s="5">
        <f t="shared" si="48"/>
        <v>0</v>
      </c>
      <c r="O85" s="14"/>
      <c r="P85" s="1">
        <f>SUM(OSRRefP22_5x_0)</f>
        <v>638.82000000000005</v>
      </c>
      <c r="Q85" s="1"/>
      <c r="R85" s="5">
        <f t="shared" si="49"/>
        <v>4.1253612839292923E-4</v>
      </c>
      <c r="S85" s="1"/>
      <c r="T85" s="1">
        <f>SUM(OSRRefT22_5x_0)</f>
        <v>638.82000000000005</v>
      </c>
      <c r="U85" s="1"/>
      <c r="V85" s="5">
        <f t="shared" si="50"/>
        <v>3.5418463558228278E-4</v>
      </c>
      <c r="W85" s="1"/>
      <c r="X85" s="1">
        <f t="shared" si="51"/>
        <v>0</v>
      </c>
      <c r="Y85" s="1"/>
      <c r="Z85" s="5">
        <f t="shared" si="52"/>
        <v>0</v>
      </c>
    </row>
    <row r="86" spans="1:26" s="24" customFormat="1" hidden="1" outlineLevel="2" x14ac:dyDescent="0.3">
      <c r="A86" s="27"/>
      <c r="B86" s="11" t="str">
        <f>CONCATENATE("          ", "6351", " - ", "EQUIPMENT RENTAL")</f>
        <v xml:space="preserve">          6351 - EQUIPMENT RENTAL</v>
      </c>
      <c r="C86" s="11"/>
      <c r="D86" s="7">
        <v>91.26</v>
      </c>
      <c r="E86" s="2"/>
      <c r="F86" s="6">
        <f t="shared" si="45"/>
        <v>1.8901967202663574E-4</v>
      </c>
      <c r="G86" s="2"/>
      <c r="H86" s="7">
        <v>91.26</v>
      </c>
      <c r="I86" s="2"/>
      <c r="J86" s="6">
        <f t="shared" si="46"/>
        <v>1.2891988641940456E-4</v>
      </c>
      <c r="K86" s="2"/>
      <c r="L86" s="7">
        <f t="shared" si="47"/>
        <v>0</v>
      </c>
      <c r="M86" s="2"/>
      <c r="N86" s="6">
        <f t="shared" si="48"/>
        <v>0</v>
      </c>
      <c r="O86" s="11"/>
      <c r="P86" s="7">
        <v>638.82000000000005</v>
      </c>
      <c r="Q86" s="2"/>
      <c r="R86" s="6">
        <f t="shared" si="49"/>
        <v>4.1253612839292923E-4</v>
      </c>
      <c r="S86" s="2"/>
      <c r="T86" s="7">
        <v>638.82000000000005</v>
      </c>
      <c r="U86" s="2"/>
      <c r="V86" s="6">
        <f t="shared" si="50"/>
        <v>3.5418463558228278E-4</v>
      </c>
      <c r="W86" s="2"/>
      <c r="X86" s="7">
        <f t="shared" si="51"/>
        <v>0</v>
      </c>
      <c r="Y86" s="2"/>
      <c r="Z86" s="6">
        <f t="shared" si="52"/>
        <v>0</v>
      </c>
    </row>
    <row r="87" spans="1:26" s="29" customFormat="1" outlineLevel="1" collapsed="1" x14ac:dyDescent="0.3">
      <c r="A87" s="28"/>
      <c r="B87" s="14" t="str">
        <f>CONCATENATE("     ","Freight out/Postage                               ")</f>
        <v xml:space="preserve">     Freight out/Postage                               </v>
      </c>
      <c r="C87" s="14"/>
      <c r="D87" s="1">
        <f>SUM(OSRRefD22_6x_0)</f>
        <v>1131.33</v>
      </c>
      <c r="E87" s="1"/>
      <c r="F87" s="5">
        <f t="shared" si="45"/>
        <v>2.3432349940159304E-3</v>
      </c>
      <c r="G87" s="1"/>
      <c r="H87" s="1">
        <f>SUM(OSRRefH22_6x_0)</f>
        <v>272.02</v>
      </c>
      <c r="I87" s="1"/>
      <c r="J87" s="5">
        <f t="shared" si="46"/>
        <v>3.842733673439231E-4</v>
      </c>
      <c r="K87" s="1"/>
      <c r="L87" s="1">
        <f t="shared" si="47"/>
        <v>859.31</v>
      </c>
      <c r="M87" s="1"/>
      <c r="N87" s="5">
        <f t="shared" si="48"/>
        <v>3.1589956620836701</v>
      </c>
      <c r="O87" s="14"/>
      <c r="P87" s="1">
        <f>SUM(OSRRefP22_6x_0)</f>
        <v>5622.11</v>
      </c>
      <c r="Q87" s="1"/>
      <c r="R87" s="5">
        <f t="shared" si="49"/>
        <v>3.6306369443648775E-3</v>
      </c>
      <c r="S87" s="1"/>
      <c r="T87" s="1">
        <f>SUM(OSRRefT22_6x_0)</f>
        <v>9170.0499999999993</v>
      </c>
      <c r="U87" s="1"/>
      <c r="V87" s="5">
        <f t="shared" si="50"/>
        <v>5.0842034024002249E-3</v>
      </c>
      <c r="W87" s="1"/>
      <c r="X87" s="1">
        <f t="shared" si="51"/>
        <v>-3547.9399999999996</v>
      </c>
      <c r="Y87" s="1"/>
      <c r="Z87" s="5">
        <f t="shared" si="52"/>
        <v>-0.38690519680917768</v>
      </c>
    </row>
    <row r="88" spans="1:26" s="24" customFormat="1" hidden="1" outlineLevel="2" x14ac:dyDescent="0.3">
      <c r="A88" s="27"/>
      <c r="B88" s="11" t="str">
        <f>CONCATENATE("          ", "6305", " - ", "FREIGHT OUT")</f>
        <v xml:space="preserve">          6305 - FREIGHT OUT</v>
      </c>
      <c r="C88" s="11"/>
      <c r="D88" s="7">
        <v>1130.8</v>
      </c>
      <c r="E88" s="2"/>
      <c r="F88" s="6">
        <f t="shared" si="45"/>
        <v>2.3421372466329135E-3</v>
      </c>
      <c r="G88" s="2"/>
      <c r="H88" s="7">
        <v>571.52</v>
      </c>
      <c r="I88" s="2"/>
      <c r="J88" s="6">
        <f t="shared" si="46"/>
        <v>8.0736679253142754E-4</v>
      </c>
      <c r="K88" s="2"/>
      <c r="L88" s="7">
        <f t="shared" si="47"/>
        <v>559.28</v>
      </c>
      <c r="M88" s="2"/>
      <c r="N88" s="6">
        <f t="shared" si="48"/>
        <v>0.9785834266517357</v>
      </c>
      <c r="O88" s="11"/>
      <c r="P88" s="7">
        <v>5621.58</v>
      </c>
      <c r="Q88" s="2"/>
      <c r="R88" s="6">
        <f t="shared" si="49"/>
        <v>3.6302946818370162E-3</v>
      </c>
      <c r="S88" s="2"/>
      <c r="T88" s="7">
        <v>9169.5499999999993</v>
      </c>
      <c r="U88" s="2"/>
      <c r="V88" s="6">
        <f t="shared" si="50"/>
        <v>5.0839261845332341E-3</v>
      </c>
      <c r="W88" s="2"/>
      <c r="X88" s="7">
        <f t="shared" si="51"/>
        <v>-3547.9699999999993</v>
      </c>
      <c r="Y88" s="2"/>
      <c r="Z88" s="6">
        <f t="shared" si="52"/>
        <v>-0.38692956579112386</v>
      </c>
    </row>
    <row r="89" spans="1:26" s="24" customFormat="1" hidden="1" outlineLevel="2" x14ac:dyDescent="0.3">
      <c r="A89" s="27"/>
      <c r="B89" s="11" t="str">
        <f>CONCATENATE("          ", "6307", " - ", "POSTAGE")</f>
        <v xml:space="preserve">          6307 - POSTAGE</v>
      </c>
      <c r="C89" s="11"/>
      <c r="D89" s="7">
        <v>0.53</v>
      </c>
      <c r="E89" s="2"/>
      <c r="F89" s="6">
        <f t="shared" si="45"/>
        <v>1.0977473830168415E-6</v>
      </c>
      <c r="G89" s="2"/>
      <c r="H89" s="7">
        <v>-299.5</v>
      </c>
      <c r="I89" s="2"/>
      <c r="J89" s="6">
        <f t="shared" si="46"/>
        <v>-4.2309342518750449E-4</v>
      </c>
      <c r="K89" s="2"/>
      <c r="L89" s="7">
        <f t="shared" si="47"/>
        <v>300.02999999999997</v>
      </c>
      <c r="M89" s="2"/>
      <c r="N89" s="6">
        <f t="shared" si="48"/>
        <v>-1.0017696160267111</v>
      </c>
      <c r="O89" s="11"/>
      <c r="P89" s="7">
        <v>0.53</v>
      </c>
      <c r="Q89" s="2"/>
      <c r="R89" s="6">
        <f t="shared" si="49"/>
        <v>3.4226252786113848E-7</v>
      </c>
      <c r="S89" s="2"/>
      <c r="T89" s="7">
        <v>0.5</v>
      </c>
      <c r="U89" s="2"/>
      <c r="V89" s="6">
        <f t="shared" si="50"/>
        <v>2.7721786699092291E-7</v>
      </c>
      <c r="W89" s="2"/>
      <c r="X89" s="7">
        <f t="shared" si="51"/>
        <v>3.0000000000000027E-2</v>
      </c>
      <c r="Y89" s="2"/>
      <c r="Z89" s="6">
        <f t="shared" si="52"/>
        <v>6.0000000000000053E-2</v>
      </c>
    </row>
    <row r="90" spans="1:26" s="29" customFormat="1" outlineLevel="1" collapsed="1" x14ac:dyDescent="0.3">
      <c r="A90" s="28"/>
      <c r="B90" s="14" t="str">
        <f>CONCATENATE("     ","General                                           ")</f>
        <v xml:space="preserve">     General                                           </v>
      </c>
      <c r="C90" s="14"/>
      <c r="D90" s="1">
        <f>SUM(OSRRefD22_7x_0)</f>
        <v>0</v>
      </c>
      <c r="E90" s="1"/>
      <c r="F90" s="5">
        <f t="shared" ref="F90:F97" si="53">IF(D$12=0,0,D90/D$12)</f>
        <v>0</v>
      </c>
      <c r="G90" s="1"/>
      <c r="H90" s="1">
        <f>SUM(OSRRefH22_7x_0)</f>
        <v>4.63</v>
      </c>
      <c r="I90" s="1"/>
      <c r="J90" s="5">
        <f t="shared" ref="J90:J97" si="54">IF(H$12=0,0,H90/H$12)</f>
        <v>6.5406429336165132E-6</v>
      </c>
      <c r="K90" s="1"/>
      <c r="L90" s="1">
        <f t="shared" ref="L90:L97" si="55">+D90-H90</f>
        <v>-4.63</v>
      </c>
      <c r="M90" s="1"/>
      <c r="N90" s="5">
        <f t="shared" ref="N90:N97" si="56">IF(H90=0,0,L90/H90)</f>
        <v>-1</v>
      </c>
      <c r="O90" s="14"/>
      <c r="P90" s="1">
        <f>SUM(OSRRefP22_7x_0)</f>
        <v>0</v>
      </c>
      <c r="Q90" s="1"/>
      <c r="R90" s="5">
        <f t="shared" ref="R90:R97" si="57">IF(P$12=0,0,P90/P$12)</f>
        <v>0</v>
      </c>
      <c r="S90" s="1"/>
      <c r="T90" s="1">
        <f>SUM(OSRRefT22_7x_0)</f>
        <v>-1037.82</v>
      </c>
      <c r="U90" s="1"/>
      <c r="V90" s="5">
        <f t="shared" ref="V90:V97" si="58">IF(T$12=0,0,T90/T$12)</f>
        <v>-5.7540449344103918E-4</v>
      </c>
      <c r="W90" s="1"/>
      <c r="X90" s="1">
        <f t="shared" ref="X90:X97" si="59">+P90-T90</f>
        <v>1037.82</v>
      </c>
      <c r="Y90" s="1"/>
      <c r="Z90" s="5">
        <f t="shared" ref="Z90:Z97" si="60">IF(T90=0,0,X90/T90)</f>
        <v>-1</v>
      </c>
    </row>
    <row r="91" spans="1:26" s="24" customFormat="1" hidden="1" outlineLevel="2" x14ac:dyDescent="0.3">
      <c r="A91" s="27"/>
      <c r="B91" s="11" t="str">
        <f>CONCATENATE("          ", "6279", " - ", "GENERAL EXPENSE")</f>
        <v xml:space="preserve">          6279 - GENERAL EXPENSE</v>
      </c>
      <c r="C91" s="11"/>
      <c r="D91" s="7"/>
      <c r="E91" s="2"/>
      <c r="F91" s="6">
        <f t="shared" si="53"/>
        <v>0</v>
      </c>
      <c r="G91" s="2"/>
      <c r="H91" s="7">
        <v>4.63</v>
      </c>
      <c r="I91" s="2"/>
      <c r="J91" s="6">
        <f t="shared" si="54"/>
        <v>6.5406429336165132E-6</v>
      </c>
      <c r="K91" s="2"/>
      <c r="L91" s="7">
        <f t="shared" si="55"/>
        <v>-4.63</v>
      </c>
      <c r="M91" s="2"/>
      <c r="N91" s="6">
        <f t="shared" si="56"/>
        <v>-1</v>
      </c>
      <c r="O91" s="11"/>
      <c r="P91" s="7"/>
      <c r="Q91" s="2"/>
      <c r="R91" s="6">
        <f t="shared" si="57"/>
        <v>0</v>
      </c>
      <c r="S91" s="2"/>
      <c r="T91" s="7">
        <v>-1037.82</v>
      </c>
      <c r="U91" s="2"/>
      <c r="V91" s="6">
        <f t="shared" si="58"/>
        <v>-5.7540449344103918E-4</v>
      </c>
      <c r="W91" s="2"/>
      <c r="X91" s="7">
        <f t="shared" si="59"/>
        <v>1037.82</v>
      </c>
      <c r="Y91" s="2"/>
      <c r="Z91" s="6">
        <f t="shared" si="60"/>
        <v>-1</v>
      </c>
    </row>
    <row r="92" spans="1:26" s="29" customFormat="1" outlineLevel="1" collapsed="1" x14ac:dyDescent="0.3">
      <c r="A92" s="28"/>
      <c r="B92" s="14" t="str">
        <f>CONCATENATE("     ","Inventory Adjustment                              ")</f>
        <v xml:space="preserve">     Inventory Adjustment                              </v>
      </c>
      <c r="C92" s="14"/>
      <c r="D92" s="1">
        <f>SUM(OSRRefD22_8x_0)</f>
        <v>1000</v>
      </c>
      <c r="E92" s="1"/>
      <c r="F92" s="5">
        <f t="shared" si="53"/>
        <v>2.0712214773902665E-3</v>
      </c>
      <c r="G92" s="1"/>
      <c r="H92" s="1">
        <f>SUM(OSRRefH22_8x_0)</f>
        <v>1000</v>
      </c>
      <c r="I92" s="1"/>
      <c r="J92" s="5">
        <f t="shared" si="54"/>
        <v>1.4126658603923355E-3</v>
      </c>
      <c r="K92" s="1"/>
      <c r="L92" s="1">
        <f t="shared" si="55"/>
        <v>0</v>
      </c>
      <c r="M92" s="1"/>
      <c r="N92" s="5">
        <f t="shared" si="56"/>
        <v>0</v>
      </c>
      <c r="O92" s="14"/>
      <c r="P92" s="1">
        <f>SUM(OSRRefP22_8x_0)</f>
        <v>11000</v>
      </c>
      <c r="Q92" s="1"/>
      <c r="R92" s="5">
        <f t="shared" si="57"/>
        <v>7.1035618990047599E-3</v>
      </c>
      <c r="S92" s="1"/>
      <c r="T92" s="1">
        <f>SUM(OSRRefT22_8x_0)</f>
        <v>12000</v>
      </c>
      <c r="U92" s="1"/>
      <c r="V92" s="5">
        <f t="shared" si="58"/>
        <v>6.6532288077821499E-3</v>
      </c>
      <c r="W92" s="1"/>
      <c r="X92" s="1">
        <f t="shared" si="59"/>
        <v>-1000</v>
      </c>
      <c r="Y92" s="1"/>
      <c r="Z92" s="5">
        <f t="shared" si="60"/>
        <v>-8.3333333333333329E-2</v>
      </c>
    </row>
    <row r="93" spans="1:26" s="24" customFormat="1" hidden="1" outlineLevel="2" x14ac:dyDescent="0.3">
      <c r="A93" s="27"/>
      <c r="B93" s="11" t="str">
        <f>CONCATENATE("          ", "6408", " - ", "INVENTORY ADJUSTMENT")</f>
        <v xml:space="preserve">          6408 - INVENTORY ADJUSTMENT</v>
      </c>
      <c r="C93" s="11"/>
      <c r="D93" s="7">
        <v>1000</v>
      </c>
      <c r="E93" s="2"/>
      <c r="F93" s="6">
        <f t="shared" si="53"/>
        <v>2.0712214773902665E-3</v>
      </c>
      <c r="G93" s="2"/>
      <c r="H93" s="7">
        <v>1000</v>
      </c>
      <c r="I93" s="2"/>
      <c r="J93" s="6">
        <f t="shared" si="54"/>
        <v>1.4126658603923355E-3</v>
      </c>
      <c r="K93" s="2"/>
      <c r="L93" s="7">
        <f t="shared" si="55"/>
        <v>0</v>
      </c>
      <c r="M93" s="2"/>
      <c r="N93" s="6">
        <f t="shared" si="56"/>
        <v>0</v>
      </c>
      <c r="O93" s="11"/>
      <c r="P93" s="7">
        <v>11000</v>
      </c>
      <c r="Q93" s="2"/>
      <c r="R93" s="6">
        <f t="shared" si="57"/>
        <v>7.1035618990047599E-3</v>
      </c>
      <c r="S93" s="2"/>
      <c r="T93" s="7">
        <v>12000</v>
      </c>
      <c r="U93" s="2"/>
      <c r="V93" s="6">
        <f t="shared" si="58"/>
        <v>6.6532288077821499E-3</v>
      </c>
      <c r="W93" s="2"/>
      <c r="X93" s="7">
        <f t="shared" si="59"/>
        <v>-1000</v>
      </c>
      <c r="Y93" s="2"/>
      <c r="Z93" s="6">
        <f t="shared" si="60"/>
        <v>-8.3333333333333329E-2</v>
      </c>
    </row>
    <row r="94" spans="1:26" s="29" customFormat="1" outlineLevel="1" collapsed="1" x14ac:dyDescent="0.3">
      <c r="A94" s="28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SUM(OSRRefD22_9x_0)</f>
        <v>9.94</v>
      </c>
      <c r="E94" s="1"/>
      <c r="F94" s="5">
        <f t="shared" si="53"/>
        <v>2.0587941485259248E-5</v>
      </c>
      <c r="G94" s="1"/>
      <c r="H94" s="1">
        <f>SUM(OSRRefH22_9x_0)</f>
        <v>17.91</v>
      </c>
      <c r="I94" s="1"/>
      <c r="J94" s="5">
        <f t="shared" si="54"/>
        <v>2.530084555962673E-5</v>
      </c>
      <c r="K94" s="1"/>
      <c r="L94" s="1">
        <f t="shared" si="55"/>
        <v>-7.9700000000000006</v>
      </c>
      <c r="M94" s="1"/>
      <c r="N94" s="5">
        <f t="shared" si="56"/>
        <v>-0.44500279173646012</v>
      </c>
      <c r="O94" s="14"/>
      <c r="P94" s="1">
        <f>SUM(OSRRefP22_9x_0)</f>
        <v>5879</v>
      </c>
      <c r="Q94" s="1"/>
      <c r="R94" s="5">
        <f t="shared" si="57"/>
        <v>3.7965309458408169E-3</v>
      </c>
      <c r="S94" s="1"/>
      <c r="T94" s="1">
        <f>SUM(OSRRefT22_9x_0)</f>
        <v>167.38</v>
      </c>
      <c r="U94" s="1"/>
      <c r="V94" s="5">
        <f t="shared" si="58"/>
        <v>9.2801453153881357E-5</v>
      </c>
      <c r="W94" s="1"/>
      <c r="X94" s="1">
        <f t="shared" si="59"/>
        <v>5711.62</v>
      </c>
      <c r="Y94" s="1"/>
      <c r="Z94" s="5">
        <f t="shared" si="60"/>
        <v>34.123670689449156</v>
      </c>
    </row>
    <row r="95" spans="1:26" s="24" customFormat="1" hidden="1" outlineLevel="2" x14ac:dyDescent="0.3">
      <c r="A95" s="27"/>
      <c r="B95" s="11" t="str">
        <f>CONCATENATE("          ", "6371", " - ", "COMPUTER SOFTWARE MAINTENANCE")</f>
        <v xml:space="preserve">          6371 - COMPUTER SOFTWARE MAINTENANCE</v>
      </c>
      <c r="C95" s="11"/>
      <c r="D95" s="7"/>
      <c r="E95" s="2"/>
      <c r="F95" s="6">
        <f t="shared" si="53"/>
        <v>0</v>
      </c>
      <c r="G95" s="2"/>
      <c r="H95" s="7"/>
      <c r="I95" s="2"/>
      <c r="J95" s="6">
        <f t="shared" si="54"/>
        <v>0</v>
      </c>
      <c r="K95" s="2"/>
      <c r="L95" s="7">
        <f t="shared" si="55"/>
        <v>0</v>
      </c>
      <c r="M95" s="2"/>
      <c r="N95" s="6">
        <f t="shared" si="56"/>
        <v>0</v>
      </c>
      <c r="O95" s="11"/>
      <c r="P95" s="7">
        <v>5775</v>
      </c>
      <c r="Q95" s="2"/>
      <c r="R95" s="6">
        <f t="shared" si="57"/>
        <v>3.729369996977499E-3</v>
      </c>
      <c r="S95" s="2"/>
      <c r="T95" s="7"/>
      <c r="U95" s="2"/>
      <c r="V95" s="6">
        <f t="shared" si="58"/>
        <v>0</v>
      </c>
      <c r="W95" s="2"/>
      <c r="X95" s="7">
        <f t="shared" si="59"/>
        <v>5775</v>
      </c>
      <c r="Y95" s="2"/>
      <c r="Z95" s="6">
        <f t="shared" si="60"/>
        <v>0</v>
      </c>
    </row>
    <row r="96" spans="1:26" s="24" customFormat="1" hidden="1" outlineLevel="2" x14ac:dyDescent="0.3">
      <c r="A96" s="27"/>
      <c r="B96" s="11" t="str">
        <f>CONCATENATE("          ", "6373", " - ", "MAINTENANCE CONTRACTS")</f>
        <v xml:space="preserve">          6373 - MAINTENANCE CONTRACTS</v>
      </c>
      <c r="C96" s="11"/>
      <c r="D96" s="7">
        <v>9.94</v>
      </c>
      <c r="E96" s="2"/>
      <c r="F96" s="6">
        <f t="shared" si="53"/>
        <v>2.0587941485259248E-5</v>
      </c>
      <c r="G96" s="2"/>
      <c r="H96" s="7">
        <v>17.91</v>
      </c>
      <c r="I96" s="2"/>
      <c r="J96" s="6">
        <f t="shared" si="54"/>
        <v>2.530084555962673E-5</v>
      </c>
      <c r="K96" s="2"/>
      <c r="L96" s="7">
        <f t="shared" si="55"/>
        <v>-7.9700000000000006</v>
      </c>
      <c r="M96" s="2"/>
      <c r="N96" s="6">
        <f t="shared" si="56"/>
        <v>-0.44500279173646012</v>
      </c>
      <c r="O96" s="11"/>
      <c r="P96" s="7">
        <v>104</v>
      </c>
      <c r="Q96" s="2"/>
      <c r="R96" s="6">
        <f t="shared" si="57"/>
        <v>6.7160948863317739E-5</v>
      </c>
      <c r="S96" s="2"/>
      <c r="T96" s="7">
        <v>142.27000000000001</v>
      </c>
      <c r="U96" s="2"/>
      <c r="V96" s="6">
        <f t="shared" si="58"/>
        <v>7.8879571873597212E-5</v>
      </c>
      <c r="W96" s="2"/>
      <c r="X96" s="7">
        <f t="shared" si="59"/>
        <v>-38.27000000000001</v>
      </c>
      <c r="Y96" s="2"/>
      <c r="Z96" s="6">
        <f t="shared" si="60"/>
        <v>-0.26899557180009848</v>
      </c>
    </row>
    <row r="97" spans="1:26" s="24" customFormat="1" hidden="1" outlineLevel="2" x14ac:dyDescent="0.3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53"/>
        <v>0</v>
      </c>
      <c r="G97" s="2"/>
      <c r="H97" s="7"/>
      <c r="I97" s="2"/>
      <c r="J97" s="6">
        <f t="shared" si="54"/>
        <v>0</v>
      </c>
      <c r="K97" s="2"/>
      <c r="L97" s="7">
        <f t="shared" si="55"/>
        <v>0</v>
      </c>
      <c r="M97" s="2"/>
      <c r="N97" s="6">
        <f t="shared" si="56"/>
        <v>0</v>
      </c>
      <c r="O97" s="11"/>
      <c r="P97" s="7"/>
      <c r="Q97" s="2"/>
      <c r="R97" s="6">
        <f t="shared" si="57"/>
        <v>0</v>
      </c>
      <c r="S97" s="2"/>
      <c r="T97" s="7">
        <v>25.11</v>
      </c>
      <c r="U97" s="2"/>
      <c r="V97" s="6">
        <f t="shared" si="58"/>
        <v>1.3921881280284149E-5</v>
      </c>
      <c r="W97" s="2"/>
      <c r="X97" s="7">
        <f t="shared" si="59"/>
        <v>-25.11</v>
      </c>
      <c r="Y97" s="2"/>
      <c r="Z97" s="6">
        <f t="shared" si="60"/>
        <v>-1</v>
      </c>
    </row>
    <row r="98" spans="1:26" s="29" customFormat="1" outlineLevel="1" collapsed="1" x14ac:dyDescent="0.3">
      <c r="A98" s="28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SUM(OSRRefD22_10x_0)</f>
        <v>301.99</v>
      </c>
      <c r="E98" s="1"/>
      <c r="F98" s="5">
        <f t="shared" ref="F98:F100" si="61">IF(D$12=0,0,D98/D$12)</f>
        <v>6.2548817395708669E-4</v>
      </c>
      <c r="G98" s="1"/>
      <c r="H98" s="1">
        <f>SUM(OSRRefH22_10x_0)</f>
        <v>2180.9899999999998</v>
      </c>
      <c r="I98" s="1"/>
      <c r="J98" s="5">
        <f t="shared" ref="J98:J100" si="62">IF(H$12=0,0,H98/H$12)</f>
        <v>3.0810101148570795E-3</v>
      </c>
      <c r="K98" s="1"/>
      <c r="L98" s="1">
        <f t="shared" ref="L98:L100" si="63">+D98-H98</f>
        <v>-1878.9999999999998</v>
      </c>
      <c r="M98" s="1"/>
      <c r="N98" s="5">
        <f t="shared" ref="N98:N100" si="64">IF(H98=0,0,L98/H98)</f>
        <v>-0.86153535779623014</v>
      </c>
      <c r="O98" s="14"/>
      <c r="P98" s="1">
        <f>SUM(OSRRefP22_10x_0)</f>
        <v>1813.73</v>
      </c>
      <c r="Q98" s="1"/>
      <c r="R98" s="5">
        <f t="shared" ref="R98:R100" si="65">IF(P$12=0,0,P98/P$12)</f>
        <v>1.1712675748256276E-3</v>
      </c>
      <c r="S98" s="1"/>
      <c r="T98" s="1">
        <f>SUM(OSRRefT22_10x_0)</f>
        <v>3912.43</v>
      </c>
      <c r="U98" s="1"/>
      <c r="V98" s="5">
        <f t="shared" ref="V98:V100" si="66">IF(T$12=0,0,T98/T$12)</f>
        <v>2.1691909987025929E-3</v>
      </c>
      <c r="W98" s="1"/>
      <c r="X98" s="1">
        <f t="shared" ref="X98:X100" si="67">+P98-T98</f>
        <v>-2098.6999999999998</v>
      </c>
      <c r="Y98" s="1"/>
      <c r="Z98" s="5">
        <f t="shared" ref="Z98:Z100" si="68">IF(T98=0,0,X98/T98)</f>
        <v>-0.53641854295156721</v>
      </c>
    </row>
    <row r="99" spans="1:26" s="24" customFormat="1" hidden="1" outlineLevel="2" x14ac:dyDescent="0.3">
      <c r="A99" s="27"/>
      <c r="B99" s="11" t="str">
        <f>CONCATENATE("          ", "6258", " - ", "MEMBERSHIP DUES")</f>
        <v xml:space="preserve">          6258 - MEMBERSHIP DUES</v>
      </c>
      <c r="C99" s="11"/>
      <c r="D99" s="7">
        <v>301.99</v>
      </c>
      <c r="E99" s="2"/>
      <c r="F99" s="6">
        <f t="shared" si="61"/>
        <v>6.2548817395708669E-4</v>
      </c>
      <c r="G99" s="2"/>
      <c r="H99" s="7">
        <v>328.91</v>
      </c>
      <c r="I99" s="2"/>
      <c r="J99" s="6">
        <f t="shared" si="62"/>
        <v>4.6463992814164311E-4</v>
      </c>
      <c r="K99" s="2"/>
      <c r="L99" s="7">
        <f t="shared" si="63"/>
        <v>-26.920000000000016</v>
      </c>
      <c r="M99" s="2"/>
      <c r="N99" s="6">
        <f t="shared" si="64"/>
        <v>-8.1846097716700664E-2</v>
      </c>
      <c r="O99" s="11"/>
      <c r="P99" s="7">
        <v>1813.73</v>
      </c>
      <c r="Q99" s="2"/>
      <c r="R99" s="6">
        <f t="shared" si="65"/>
        <v>1.1712675748256276E-3</v>
      </c>
      <c r="S99" s="2"/>
      <c r="T99" s="7">
        <v>2060.35</v>
      </c>
      <c r="U99" s="2"/>
      <c r="V99" s="6">
        <f t="shared" si="66"/>
        <v>1.1423316645094959E-3</v>
      </c>
      <c r="W99" s="2"/>
      <c r="X99" s="7">
        <f t="shared" si="67"/>
        <v>-246.61999999999989</v>
      </c>
      <c r="Y99" s="2"/>
      <c r="Z99" s="6">
        <f t="shared" si="68"/>
        <v>-0.11969810954449482</v>
      </c>
    </row>
    <row r="100" spans="1:26" s="24" customFormat="1" hidden="1" outlineLevel="2" x14ac:dyDescent="0.3">
      <c r="A100" s="27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61"/>
        <v>0</v>
      </c>
      <c r="G100" s="2"/>
      <c r="H100" s="7">
        <v>1852.08</v>
      </c>
      <c r="I100" s="2"/>
      <c r="J100" s="6">
        <f t="shared" si="62"/>
        <v>2.6163701867154368E-3</v>
      </c>
      <c r="K100" s="2"/>
      <c r="L100" s="7">
        <f t="shared" si="63"/>
        <v>-1852.08</v>
      </c>
      <c r="M100" s="2"/>
      <c r="N100" s="6">
        <f t="shared" si="64"/>
        <v>-1</v>
      </c>
      <c r="O100" s="11"/>
      <c r="P100" s="7"/>
      <c r="Q100" s="2"/>
      <c r="R100" s="6">
        <f t="shared" si="65"/>
        <v>0</v>
      </c>
      <c r="S100" s="2"/>
      <c r="T100" s="7">
        <v>1852.08</v>
      </c>
      <c r="U100" s="2"/>
      <c r="V100" s="6">
        <f t="shared" si="66"/>
        <v>1.026859334193097E-3</v>
      </c>
      <c r="W100" s="2"/>
      <c r="X100" s="7">
        <f t="shared" si="67"/>
        <v>-1852.08</v>
      </c>
      <c r="Y100" s="2"/>
      <c r="Z100" s="6">
        <f t="shared" si="68"/>
        <v>-1</v>
      </c>
    </row>
    <row r="101" spans="1:26" s="29" customFormat="1" outlineLevel="1" collapsed="1" x14ac:dyDescent="0.3">
      <c r="A101" s="28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SUM(OSRRefD22_11x_0)</f>
        <v>45</v>
      </c>
      <c r="E101" s="1"/>
      <c r="F101" s="5">
        <f t="shared" ref="F101:F103" si="69">IF(D$12=0,0,D101/D$12)</f>
        <v>9.3204966482562002E-5</v>
      </c>
      <c r="G101" s="1"/>
      <c r="H101" s="1">
        <f>SUM(OSRRefH22_11x_0)</f>
        <v>2182.2599999999998</v>
      </c>
      <c r="I101" s="1"/>
      <c r="J101" s="5">
        <f t="shared" ref="J101:J103" si="70">IF(H$12=0,0,H101/H$12)</f>
        <v>3.082804200499778E-3</v>
      </c>
      <c r="K101" s="1"/>
      <c r="L101" s="1">
        <f t="shared" ref="L101:L103" si="71">+D101-H101</f>
        <v>-2137.2599999999998</v>
      </c>
      <c r="M101" s="1"/>
      <c r="N101" s="5">
        <f t="shared" ref="N101:N103" si="72">IF(H101=0,0,L101/H101)</f>
        <v>-0.97937917571691735</v>
      </c>
      <c r="O101" s="14"/>
      <c r="P101" s="1">
        <f>SUM(OSRRefP22_11x_0)</f>
        <v>1120.77</v>
      </c>
      <c r="Q101" s="1"/>
      <c r="R101" s="5">
        <f t="shared" ref="R101:R103" si="73">IF(P$12=0,0,P101/P$12)</f>
        <v>7.2376900632250597E-4</v>
      </c>
      <c r="S101" s="1"/>
      <c r="T101" s="1">
        <f>SUM(OSRRefT22_11x_0)</f>
        <v>4251.8999999999996</v>
      </c>
      <c r="U101" s="1"/>
      <c r="V101" s="5">
        <f t="shared" ref="V101:V103" si="74">IF(T$12=0,0,T101/T$12)</f>
        <v>2.3574052973174102E-3</v>
      </c>
      <c r="W101" s="1"/>
      <c r="X101" s="1">
        <f t="shared" ref="X101:X103" si="75">+P101-T101</f>
        <v>-3131.1299999999997</v>
      </c>
      <c r="Y101" s="1"/>
      <c r="Z101" s="5">
        <f t="shared" ref="Z101:Z103" si="76">IF(T101=0,0,X101/T101)</f>
        <v>-0.73640725322796863</v>
      </c>
    </row>
    <row r="102" spans="1:26" s="24" customFormat="1" hidden="1" outlineLevel="2" x14ac:dyDescent="0.3">
      <c r="A102" s="27"/>
      <c r="B102" s="11" t="str">
        <f>CONCATENATE("          ", "6241", " - ", "OFFICE EXPENSE")</f>
        <v xml:space="preserve">          6241 - OFFICE EXPENSE</v>
      </c>
      <c r="C102" s="11"/>
      <c r="D102" s="7">
        <v>45</v>
      </c>
      <c r="E102" s="2"/>
      <c r="F102" s="6">
        <f t="shared" si="69"/>
        <v>9.3204966482562002E-5</v>
      </c>
      <c r="G102" s="2"/>
      <c r="H102" s="7">
        <v>85.24</v>
      </c>
      <c r="I102" s="2"/>
      <c r="J102" s="6">
        <f t="shared" si="70"/>
        <v>1.2041563793984268E-4</v>
      </c>
      <c r="K102" s="2"/>
      <c r="L102" s="7">
        <f t="shared" si="71"/>
        <v>-40.239999999999995</v>
      </c>
      <c r="M102" s="2"/>
      <c r="N102" s="6">
        <f t="shared" si="72"/>
        <v>-0.47207883622712338</v>
      </c>
      <c r="O102" s="11"/>
      <c r="P102" s="7">
        <v>1120.77</v>
      </c>
      <c r="Q102" s="2"/>
      <c r="R102" s="6">
        <f t="shared" si="73"/>
        <v>7.2376900632250597E-4</v>
      </c>
      <c r="S102" s="2"/>
      <c r="T102" s="7">
        <v>1209.5999999999999</v>
      </c>
      <c r="U102" s="2"/>
      <c r="V102" s="6">
        <f t="shared" si="74"/>
        <v>6.7064546382444065E-4</v>
      </c>
      <c r="W102" s="2"/>
      <c r="X102" s="7">
        <f t="shared" si="75"/>
        <v>-88.829999999999927</v>
      </c>
      <c r="Y102" s="2"/>
      <c r="Z102" s="6">
        <f t="shared" si="76"/>
        <v>-7.3437499999999947E-2</v>
      </c>
    </row>
    <row r="103" spans="1:26" s="24" customFormat="1" hidden="1" outlineLevel="2" x14ac:dyDescent="0.3">
      <c r="A103" s="27"/>
      <c r="B103" s="11" t="str">
        <f>CONCATENATE("          ", "6247", " - ", "STORE SUPPLIES")</f>
        <v xml:space="preserve">          6247 - STORE SUPPLIES</v>
      </c>
      <c r="C103" s="11"/>
      <c r="D103" s="7"/>
      <c r="E103" s="2"/>
      <c r="F103" s="6">
        <f t="shared" si="69"/>
        <v>0</v>
      </c>
      <c r="G103" s="2"/>
      <c r="H103" s="7">
        <v>2097.02</v>
      </c>
      <c r="I103" s="2"/>
      <c r="J103" s="6">
        <f t="shared" si="70"/>
        <v>2.9623885625599355E-3</v>
      </c>
      <c r="K103" s="2"/>
      <c r="L103" s="7">
        <f t="shared" si="71"/>
        <v>-2097.02</v>
      </c>
      <c r="M103" s="2"/>
      <c r="N103" s="6">
        <f t="shared" si="72"/>
        <v>-1</v>
      </c>
      <c r="O103" s="11"/>
      <c r="P103" s="7"/>
      <c r="Q103" s="2"/>
      <c r="R103" s="6">
        <f t="shared" si="73"/>
        <v>0</v>
      </c>
      <c r="S103" s="2"/>
      <c r="T103" s="7">
        <v>3042.3</v>
      </c>
      <c r="U103" s="2"/>
      <c r="V103" s="6">
        <f t="shared" si="74"/>
        <v>1.6867598334929697E-3</v>
      </c>
      <c r="W103" s="2"/>
      <c r="X103" s="7">
        <f t="shared" si="75"/>
        <v>-3042.3</v>
      </c>
      <c r="Y103" s="2"/>
      <c r="Z103" s="6">
        <f t="shared" si="76"/>
        <v>-1</v>
      </c>
    </row>
    <row r="104" spans="1:26" s="29" customFormat="1" outlineLevel="1" collapsed="1" x14ac:dyDescent="0.3">
      <c r="A104" s="28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SUM(OSRRefD22_12x_0)</f>
        <v>1011.65</v>
      </c>
      <c r="E104" s="1"/>
      <c r="F104" s="5">
        <f t="shared" ref="F104:F106" si="77">IF(D$12=0,0,D104/D$12)</f>
        <v>2.0953512076018633E-3</v>
      </c>
      <c r="G104" s="1"/>
      <c r="H104" s="1">
        <f>SUM(OSRRefH22_12x_0)</f>
        <v>1215.2</v>
      </c>
      <c r="I104" s="1"/>
      <c r="J104" s="5">
        <f t="shared" ref="J104:J106" si="78">IF(H$12=0,0,H104/H$12)</f>
        <v>1.7166715535487662E-3</v>
      </c>
      <c r="K104" s="1"/>
      <c r="L104" s="1">
        <f t="shared" ref="L104:L106" si="79">+D104-H104</f>
        <v>-203.55000000000007</v>
      </c>
      <c r="M104" s="1"/>
      <c r="N104" s="5">
        <f t="shared" ref="N104:N106" si="80">IF(H104=0,0,L104/H104)</f>
        <v>-0.16750329163923638</v>
      </c>
      <c r="O104" s="14"/>
      <c r="P104" s="1">
        <f>SUM(OSRRefP22_12x_0)</f>
        <v>4090.5</v>
      </c>
      <c r="Q104" s="1"/>
      <c r="R104" s="5">
        <f t="shared" ref="R104:R106" si="81">IF(P$12=0,0,P104/P$12)</f>
        <v>2.6415563588980885E-3</v>
      </c>
      <c r="S104" s="1"/>
      <c r="T104" s="1">
        <f>SUM(OSRRefT22_12x_0)</f>
        <v>6257.7</v>
      </c>
      <c r="U104" s="1"/>
      <c r="V104" s="5">
        <f t="shared" ref="V104:V106" si="82">IF(T$12=0,0,T104/T$12)</f>
        <v>3.4694924925381967E-3</v>
      </c>
      <c r="W104" s="1"/>
      <c r="X104" s="1">
        <f t="shared" ref="X104:X106" si="83">+P104-T104</f>
        <v>-2167.1999999999998</v>
      </c>
      <c r="Y104" s="1"/>
      <c r="Z104" s="5">
        <f t="shared" ref="Z104:Z106" si="84">IF(T104=0,0,X104/T104)</f>
        <v>-0.34632532719689341</v>
      </c>
    </row>
    <row r="105" spans="1:26" s="24" customFormat="1" hidden="1" outlineLevel="2" x14ac:dyDescent="0.3">
      <c r="A105" s="27"/>
      <c r="B105" s="11" t="str">
        <f>CONCATENATE("          ", "6303", " - ", "DATA PHONE LINES")</f>
        <v xml:space="preserve">          6303 - DATA PHONE LINES</v>
      </c>
      <c r="C105" s="11"/>
      <c r="D105" s="7"/>
      <c r="E105" s="2"/>
      <c r="F105" s="6">
        <f t="shared" si="77"/>
        <v>0</v>
      </c>
      <c r="G105" s="2"/>
      <c r="H105" s="7">
        <v>295</v>
      </c>
      <c r="I105" s="2"/>
      <c r="J105" s="6">
        <f t="shared" si="78"/>
        <v>4.1673642881573901E-4</v>
      </c>
      <c r="K105" s="2"/>
      <c r="L105" s="7">
        <f t="shared" si="79"/>
        <v>-295</v>
      </c>
      <c r="M105" s="2"/>
      <c r="N105" s="6">
        <f t="shared" si="80"/>
        <v>-1</v>
      </c>
      <c r="O105" s="11"/>
      <c r="P105" s="7">
        <v>295</v>
      </c>
      <c r="Q105" s="2"/>
      <c r="R105" s="6">
        <f t="shared" si="81"/>
        <v>1.9050461456421858E-4</v>
      </c>
      <c r="S105" s="2"/>
      <c r="T105" s="7">
        <v>2360</v>
      </c>
      <c r="U105" s="2"/>
      <c r="V105" s="6">
        <f t="shared" si="82"/>
        <v>1.3084683321971562E-3</v>
      </c>
      <c r="W105" s="2"/>
      <c r="X105" s="7">
        <f t="shared" si="83"/>
        <v>-2065</v>
      </c>
      <c r="Y105" s="2"/>
      <c r="Z105" s="6">
        <f t="shared" si="84"/>
        <v>-0.875</v>
      </c>
    </row>
    <row r="106" spans="1:26" s="24" customFormat="1" hidden="1" outlineLevel="2" x14ac:dyDescent="0.3">
      <c r="A106" s="27"/>
      <c r="B106" s="11" t="str">
        <f>CONCATENATE("          ", "6309", " - ", "TELEPHONE")</f>
        <v xml:space="preserve">          6309 - TELEPHONE</v>
      </c>
      <c r="C106" s="11"/>
      <c r="D106" s="7">
        <v>1011.65</v>
      </c>
      <c r="E106" s="2"/>
      <c r="F106" s="6">
        <f t="shared" si="77"/>
        <v>2.0953512076018633E-3</v>
      </c>
      <c r="G106" s="2"/>
      <c r="H106" s="7">
        <v>920.2</v>
      </c>
      <c r="I106" s="2"/>
      <c r="J106" s="6">
        <f t="shared" si="78"/>
        <v>1.2999351247330272E-3</v>
      </c>
      <c r="K106" s="2"/>
      <c r="L106" s="7">
        <f t="shared" si="79"/>
        <v>91.449999999999932</v>
      </c>
      <c r="M106" s="2"/>
      <c r="N106" s="6">
        <f t="shared" si="80"/>
        <v>9.9380569441425703E-2</v>
      </c>
      <c r="O106" s="11"/>
      <c r="P106" s="7">
        <v>3795.5</v>
      </c>
      <c r="Q106" s="2"/>
      <c r="R106" s="6">
        <f t="shared" si="81"/>
        <v>2.4510517443338698E-3</v>
      </c>
      <c r="S106" s="2"/>
      <c r="T106" s="7">
        <v>3897.7</v>
      </c>
      <c r="U106" s="2"/>
      <c r="V106" s="6">
        <f t="shared" si="82"/>
        <v>2.1610241603410405E-3</v>
      </c>
      <c r="W106" s="2"/>
      <c r="X106" s="7">
        <f t="shared" si="83"/>
        <v>-102.19999999999982</v>
      </c>
      <c r="Y106" s="2"/>
      <c r="Z106" s="6">
        <f t="shared" si="84"/>
        <v>-2.6220591630961805E-2</v>
      </c>
    </row>
    <row r="107" spans="1:26" s="29" customFormat="1" outlineLevel="1" collapsed="1" x14ac:dyDescent="0.3">
      <c r="A107" s="28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SUM(OSRRefD22_13x_0)</f>
        <v>0</v>
      </c>
      <c r="E107" s="1"/>
      <c r="F107" s="5">
        <f t="shared" ref="F107:F108" si="85">IF(D$12=0,0,D107/D$12)</f>
        <v>0</v>
      </c>
      <c r="G107" s="1"/>
      <c r="H107" s="1">
        <f>SUM(OSRRefH22_13x_0)</f>
        <v>0</v>
      </c>
      <c r="I107" s="1"/>
      <c r="J107" s="5">
        <f t="shared" ref="J107:J108" si="86">IF(H$12=0,0,H107/H$12)</f>
        <v>0</v>
      </c>
      <c r="K107" s="1"/>
      <c r="L107" s="1">
        <f t="shared" ref="L107:L108" si="87">+D107-H107</f>
        <v>0</v>
      </c>
      <c r="M107" s="1"/>
      <c r="N107" s="5">
        <f t="shared" ref="N107:N108" si="88">IF(H107=0,0,L107/H107)</f>
        <v>0</v>
      </c>
      <c r="O107" s="14"/>
      <c r="P107" s="1">
        <f>SUM(OSRRefP22_13x_0)</f>
        <v>0</v>
      </c>
      <c r="Q107" s="1"/>
      <c r="R107" s="5">
        <f t="shared" ref="R107:R108" si="89">IF(P$12=0,0,P107/P$12)</f>
        <v>0</v>
      </c>
      <c r="S107" s="1"/>
      <c r="T107" s="1">
        <f>SUM(OSRRefT22_13x_0)</f>
        <v>0.16</v>
      </c>
      <c r="U107" s="1"/>
      <c r="V107" s="5">
        <f t="shared" ref="V107:V108" si="90">IF(T$12=0,0,T107/T$12)</f>
        <v>8.8709717437095336E-8</v>
      </c>
      <c r="W107" s="1"/>
      <c r="X107" s="1">
        <f t="shared" ref="X107:X108" si="91">+P107-T107</f>
        <v>-0.16</v>
      </c>
      <c r="Y107" s="1"/>
      <c r="Z107" s="5">
        <f t="shared" ref="Z107:Z108" si="92">IF(T107=0,0,X107/T107)</f>
        <v>-1</v>
      </c>
    </row>
    <row r="108" spans="1:26" s="24" customFormat="1" hidden="1" outlineLevel="2" x14ac:dyDescent="0.3">
      <c r="A108" s="27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5"/>
        <v>0</v>
      </c>
      <c r="G108" s="2"/>
      <c r="H108" s="7"/>
      <c r="I108" s="2"/>
      <c r="J108" s="6">
        <f t="shared" si="86"/>
        <v>0</v>
      </c>
      <c r="K108" s="2"/>
      <c r="L108" s="7">
        <f t="shared" si="87"/>
        <v>0</v>
      </c>
      <c r="M108" s="2"/>
      <c r="N108" s="6">
        <f t="shared" si="88"/>
        <v>0</v>
      </c>
      <c r="O108" s="11"/>
      <c r="P108" s="7"/>
      <c r="Q108" s="2"/>
      <c r="R108" s="6">
        <f t="shared" si="89"/>
        <v>0</v>
      </c>
      <c r="S108" s="2"/>
      <c r="T108" s="7">
        <v>0.16</v>
      </c>
      <c r="U108" s="2"/>
      <c r="V108" s="6">
        <f t="shared" si="90"/>
        <v>8.8709717437095336E-8</v>
      </c>
      <c r="W108" s="2"/>
      <c r="X108" s="7">
        <f t="shared" si="91"/>
        <v>-0.16</v>
      </c>
      <c r="Y108" s="2"/>
      <c r="Z108" s="6">
        <f t="shared" si="92"/>
        <v>-1</v>
      </c>
    </row>
    <row r="109" spans="1:26" s="52" customFormat="1" x14ac:dyDescent="0.3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3">
      <c r="A110" s="10"/>
      <c r="B110" s="26" t="s">
        <v>292</v>
      </c>
      <c r="C110" s="10"/>
      <c r="D110" s="4">
        <f>SUM(OSRRefD25x_0)</f>
        <v>3325.2000000000003</v>
      </c>
      <c r="E110" s="4"/>
      <c r="F110" s="12">
        <f t="shared" ref="F110:F113" si="93">IF(D$12=0,0,D110/D$12)</f>
        <v>6.8872256566181152E-3</v>
      </c>
      <c r="G110" s="4"/>
      <c r="H110" s="4">
        <f>SUM(OSRRefH25x_0)</f>
        <v>7055.88</v>
      </c>
      <c r="I110" s="4"/>
      <c r="J110" s="12">
        <f t="shared" ref="J110:J113" si="94">IF(H$12=0,0,H110/H$12)</f>
        <v>9.9676007910250719E-3</v>
      </c>
      <c r="K110" s="4"/>
      <c r="L110" s="4">
        <f t="shared" ref="L110:L113" si="95">+D110-H110</f>
        <v>-3730.68</v>
      </c>
      <c r="M110" s="4"/>
      <c r="N110" s="12">
        <f t="shared" ref="N110:N113" si="96">IF(H110=0,0,L110/H110)</f>
        <v>-0.52873348186193636</v>
      </c>
      <c r="O110" s="10"/>
      <c r="P110" s="4">
        <f>SUM(OSRRefP25x_0)</f>
        <v>194228.91999999998</v>
      </c>
      <c r="Q110" s="4"/>
      <c r="R110" s="12">
        <f t="shared" ref="R110:R113" si="97">IF(P$12=0,0,P110/P$12)</f>
        <v>0.12542883234516761</v>
      </c>
      <c r="S110" s="4"/>
      <c r="T110" s="4">
        <f>SUM(OSRRefT25x_0)</f>
        <v>180821.69000000003</v>
      </c>
      <c r="U110" s="4"/>
      <c r="V110" s="12">
        <f t="shared" ref="V110:V113" si="98">IF(T$12=0,0,T110/T$12)</f>
        <v>0.10025400641498781</v>
      </c>
      <c r="W110" s="4"/>
      <c r="X110" s="4">
        <f t="shared" ref="X110:X113" si="99">+P110-T110</f>
        <v>13407.229999999952</v>
      </c>
      <c r="Y110" s="4"/>
      <c r="Z110" s="12">
        <f t="shared" ref="Z110:Z113" si="100">IF(T110=0,0,X110/T110)</f>
        <v>7.414613810986917E-2</v>
      </c>
    </row>
    <row r="111" spans="1:26" s="24" customFormat="1" hidden="1" outlineLevel="1" x14ac:dyDescent="0.3">
      <c r="A111" s="44"/>
      <c r="B111" s="11" t="str">
        <f>CONCATENATE("          ", "9150", " - ", "MISC. INCOME")</f>
        <v xml:space="preserve">          9150 - MISC. INCOME</v>
      </c>
      <c r="C111" s="11"/>
      <c r="D111" s="2">
        <f>--0.01</f>
        <v>0.01</v>
      </c>
      <c r="E111" s="2"/>
      <c r="F111" s="19">
        <f t="shared" si="93"/>
        <v>2.0712214773902666E-8</v>
      </c>
      <c r="G111" s="2"/>
      <c r="H111" s="2">
        <f>--4937.55</f>
        <v>4937.55</v>
      </c>
      <c r="I111" s="2"/>
      <c r="J111" s="19">
        <f t="shared" si="94"/>
        <v>6.9751083189801763E-3</v>
      </c>
      <c r="K111" s="2"/>
      <c r="L111" s="2">
        <f t="shared" si="95"/>
        <v>-4937.54</v>
      </c>
      <c r="M111" s="2"/>
      <c r="N111" s="19">
        <f t="shared" si="96"/>
        <v>-0.9999979747040536</v>
      </c>
      <c r="O111" s="11"/>
      <c r="P111" s="2">
        <f>--19313.27</f>
        <v>19313.27</v>
      </c>
      <c r="Q111" s="2"/>
      <c r="R111" s="19">
        <f t="shared" si="97"/>
        <v>1.2472091719744697E-2</v>
      </c>
      <c r="S111" s="2"/>
      <c r="T111" s="2">
        <f>--28332.04</f>
        <v>28332.04</v>
      </c>
      <c r="U111" s="2"/>
      <c r="V111" s="19">
        <f t="shared" si="98"/>
        <v>1.5708295392603017E-2</v>
      </c>
      <c r="W111" s="2"/>
      <c r="X111" s="2">
        <f t="shared" si="99"/>
        <v>-9018.77</v>
      </c>
      <c r="Y111" s="2"/>
      <c r="Z111" s="19">
        <f t="shared" si="100"/>
        <v>-0.31832405996885504</v>
      </c>
    </row>
    <row r="112" spans="1:26" s="24" customFormat="1" hidden="1" outlineLevel="1" x14ac:dyDescent="0.3">
      <c r="A112" s="44"/>
      <c r="B112" s="11" t="str">
        <f>CONCATENATE("          ", "9151", " - ", "MISC. INCOME")</f>
        <v xml:space="preserve">          9151 - MISC. INCOME</v>
      </c>
      <c r="C112" s="11"/>
      <c r="D112" s="2">
        <f>--2958.75</f>
        <v>2958.75</v>
      </c>
      <c r="E112" s="2"/>
      <c r="F112" s="19">
        <f t="shared" si="93"/>
        <v>6.1282265462284519E-3</v>
      </c>
      <c r="G112" s="2"/>
      <c r="H112" s="2">
        <f>--1972</f>
        <v>1972</v>
      </c>
      <c r="I112" s="2"/>
      <c r="J112" s="19">
        <f t="shared" si="94"/>
        <v>2.7857770766936858E-3</v>
      </c>
      <c r="K112" s="2"/>
      <c r="L112" s="2">
        <f t="shared" si="95"/>
        <v>986.75</v>
      </c>
      <c r="M112" s="2"/>
      <c r="N112" s="19">
        <f t="shared" si="96"/>
        <v>0.50038032454361059</v>
      </c>
      <c r="O112" s="11"/>
      <c r="P112" s="2">
        <f>--171422.11</f>
        <v>171422.11</v>
      </c>
      <c r="Q112" s="2"/>
      <c r="R112" s="19">
        <f t="shared" si="97"/>
        <v>0.11070068811300025</v>
      </c>
      <c r="S112" s="2"/>
      <c r="T112" s="2">
        <f>--149257.39</f>
        <v>149257.39000000001</v>
      </c>
      <c r="U112" s="2"/>
      <c r="V112" s="19">
        <f t="shared" si="98"/>
        <v>8.275363057686462E-2</v>
      </c>
      <c r="W112" s="2"/>
      <c r="X112" s="2">
        <f t="shared" si="99"/>
        <v>22164.719999999972</v>
      </c>
      <c r="Y112" s="2"/>
      <c r="Z112" s="19">
        <f t="shared" si="100"/>
        <v>0.14849998381989643</v>
      </c>
    </row>
    <row r="113" spans="1:26" s="24" customFormat="1" hidden="1" outlineLevel="1" x14ac:dyDescent="0.3">
      <c r="A113" s="44"/>
      <c r="B113" s="11" t="str">
        <f>CONCATENATE("          ", "9152", " - ", "MISC. INCOME")</f>
        <v xml:space="preserve">          9152 - MISC. INCOME</v>
      </c>
      <c r="C113" s="11"/>
      <c r="D113" s="2">
        <f>--366.44</f>
        <v>366.44</v>
      </c>
      <c r="E113" s="2"/>
      <c r="F113" s="19">
        <f t="shared" si="93"/>
        <v>7.5897839817488932E-4</v>
      </c>
      <c r="G113" s="2"/>
      <c r="H113" s="2">
        <f>--146.33</f>
        <v>146.33000000000001</v>
      </c>
      <c r="I113" s="2"/>
      <c r="J113" s="19">
        <f t="shared" si="94"/>
        <v>2.0671539535121048E-4</v>
      </c>
      <c r="K113" s="2"/>
      <c r="L113" s="2">
        <f t="shared" si="95"/>
        <v>220.10999999999999</v>
      </c>
      <c r="M113" s="2"/>
      <c r="N113" s="19">
        <f t="shared" si="96"/>
        <v>1.5042028292216221</v>
      </c>
      <c r="O113" s="11"/>
      <c r="P113" s="2">
        <f>--3493.54</f>
        <v>3493.54</v>
      </c>
      <c r="Q113" s="2"/>
      <c r="R113" s="19">
        <f t="shared" si="97"/>
        <v>2.2560525124226444E-3</v>
      </c>
      <c r="S113" s="2"/>
      <c r="T113" s="2">
        <f>--3232.26</f>
        <v>3232.26</v>
      </c>
      <c r="U113" s="2"/>
      <c r="V113" s="19">
        <f t="shared" si="98"/>
        <v>1.7920804455201613E-3</v>
      </c>
      <c r="W113" s="2"/>
      <c r="X113" s="2">
        <f t="shared" si="99"/>
        <v>261.27999999999975</v>
      </c>
      <c r="Y113" s="2"/>
      <c r="Z113" s="19">
        <f t="shared" si="100"/>
        <v>8.0835081336278564E-2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10"/>
      <c r="B115" s="25" t="s">
        <v>276</v>
      </c>
      <c r="C115" s="25"/>
      <c r="D115" s="21">
        <f>+D57-D59+D110</f>
        <v>105168.10999999999</v>
      </c>
      <c r="E115" s="13"/>
      <c r="F115" s="22">
        <f>IF(D$12=0,0,D115/D$12)</f>
        <v>0.21782644816854205</v>
      </c>
      <c r="G115" s="13"/>
      <c r="H115" s="21">
        <f>+H57-H59+H110</f>
        <v>156297.28000000006</v>
      </c>
      <c r="I115" s="13"/>
      <c r="J115" s="22">
        <f>IF(H$12=0,0,H115/H$12)</f>
        <v>0.22079583152818186</v>
      </c>
      <c r="K115" s="15"/>
      <c r="L115" s="21">
        <f>+D115-H115</f>
        <v>-51129.170000000071</v>
      </c>
      <c r="M115" s="15"/>
      <c r="N115" s="22">
        <f>IF(H115=0,0,L115/H115)</f>
        <v>-0.32712770177446499</v>
      </c>
      <c r="O115" s="26"/>
      <c r="P115" s="21">
        <f>+P57-P59+P110</f>
        <v>192597.11000000016</v>
      </c>
      <c r="Q115" s="13"/>
      <c r="R115" s="22">
        <f>IF(P$12=0,0,P115/P$12)</f>
        <v>0.12437504476858453</v>
      </c>
      <c r="S115" s="13"/>
      <c r="T115" s="21">
        <f>+T57-T59+T110</f>
        <v>382015.64999999967</v>
      </c>
      <c r="U115" s="13"/>
      <c r="V115" s="22">
        <f>IF(T$12=0,0,T115/T$12)</f>
        <v>0.21180312730030176</v>
      </c>
      <c r="W115" s="15"/>
      <c r="X115" s="21">
        <f>+P115-T115</f>
        <v>-189418.53999999951</v>
      </c>
      <c r="Y115" s="15"/>
      <c r="Z115" s="22">
        <f>IF(T115=0,0,X115/T115)</f>
        <v>-0.4958397385028589</v>
      </c>
    </row>
    <row r="116" spans="1:26" x14ac:dyDescent="0.3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">
      <c r="A117" s="51"/>
      <c r="B117" s="10" t="s">
        <v>127</v>
      </c>
      <c r="C117" s="10"/>
      <c r="D117" s="4">
        <v>76692.789999999994</v>
      </c>
      <c r="E117" s="4"/>
      <c r="F117" s="12">
        <f>IF(D$12=0,0,D117/D$12)</f>
        <v>0.15884775380898145</v>
      </c>
      <c r="G117" s="4"/>
      <c r="H117" s="4">
        <v>130406.49</v>
      </c>
      <c r="I117" s="4"/>
      <c r="J117" s="12">
        <f>IF(H$12=0,0,H117/H$12)</f>
        <v>0.1842207963965945</v>
      </c>
      <c r="K117" s="4"/>
      <c r="L117" s="4">
        <f>+D117-H117</f>
        <v>-53713.700000000012</v>
      </c>
      <c r="M117" s="4"/>
      <c r="N117" s="12">
        <f>IF(H117=0,0,L117/H117)</f>
        <v>-0.41189437734272283</v>
      </c>
      <c r="O117" s="10"/>
      <c r="P117" s="4">
        <v>204973.4</v>
      </c>
      <c r="Q117" s="4"/>
      <c r="R117" s="12">
        <f>IF(P$12=0,0,P117/P$12)</f>
        <v>0.13236738495904202</v>
      </c>
      <c r="S117" s="4"/>
      <c r="T117" s="4">
        <v>327407.57</v>
      </c>
      <c r="U117" s="4"/>
      <c r="V117" s="12">
        <f>IF(T$12=0,0,T117/T$12)</f>
        <v>0.18152645638416257</v>
      </c>
      <c r="W117" s="4"/>
      <c r="X117" s="4">
        <f>+P117-T117</f>
        <v>-122434.17000000001</v>
      </c>
      <c r="Y117" s="4"/>
      <c r="Z117" s="12">
        <f>IF(T117=0,0,X117/T117)</f>
        <v>-0.37395033352466472</v>
      </c>
    </row>
    <row r="118" spans="1:26" x14ac:dyDescent="0.3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5" t="s">
        <v>125</v>
      </c>
      <c r="C119" s="25"/>
      <c r="D119" s="36">
        <f>+D115-D117</f>
        <v>28475.319999999992</v>
      </c>
      <c r="E119" s="13"/>
      <c r="F119" s="31">
        <f>IF(D$12=0,0,D119/D$12)</f>
        <v>5.8978694359560595E-2</v>
      </c>
      <c r="G119" s="13"/>
      <c r="H119" s="36">
        <f>+H115-H117</f>
        <v>25890.790000000052</v>
      </c>
      <c r="I119" s="13"/>
      <c r="J119" s="31">
        <f>IF(H$12=0,0,H119/H$12)</f>
        <v>3.6575035131587351E-2</v>
      </c>
      <c r="K119" s="15"/>
      <c r="L119" s="36">
        <f>D119-H119</f>
        <v>2584.5299999999406</v>
      </c>
      <c r="M119" s="15"/>
      <c r="N119" s="31">
        <f>IF(H119=0,0,L119/H119)</f>
        <v>9.9824300455873899E-2</v>
      </c>
      <c r="O119" s="26"/>
      <c r="P119" s="36">
        <f>+P115-P117</f>
        <v>-12376.289999999834</v>
      </c>
      <c r="Q119" s="13"/>
      <c r="R119" s="31">
        <f>IF(P$12=0,0,P119/P$12)</f>
        <v>-7.9923401904574941E-3</v>
      </c>
      <c r="S119" s="13"/>
      <c r="T119" s="36">
        <f>+T115-T117</f>
        <v>54608.079999999667</v>
      </c>
      <c r="U119" s="13"/>
      <c r="V119" s="31">
        <f>IF(T$12=0,0,T119/T$12)</f>
        <v>3.0276670916139174E-2</v>
      </c>
      <c r="W119" s="15"/>
      <c r="X119" s="36">
        <f>P119-T119</f>
        <v>-66984.369999999501</v>
      </c>
      <c r="Y119" s="15"/>
      <c r="Z119" s="31">
        <f>IF(T119=0,0,X119/T119)</f>
        <v>-1.2266384388537357</v>
      </c>
    </row>
    <row r="120" spans="1:26" ht="15" thickTop="1" x14ac:dyDescent="0.3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3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" thickBot="1" x14ac:dyDescent="0.35">
      <c r="A122" s="10"/>
      <c r="B122" s="25" t="s">
        <v>293</v>
      </c>
      <c r="C122" s="25"/>
      <c r="D122" s="35">
        <f>SUM(D119:D121)</f>
        <v>28475.319999999992</v>
      </c>
      <c r="E122" s="13"/>
      <c r="F122" s="32">
        <f>IF(D$12=0,0,D122/D$12)</f>
        <v>5.8978694359560595E-2</v>
      </c>
      <c r="G122" s="13"/>
      <c r="H122" s="35">
        <f>SUM(H119:H121)</f>
        <v>25890.790000000052</v>
      </c>
      <c r="I122" s="13"/>
      <c r="J122" s="32">
        <f>IF(H$12=0,0,H122/H$12)</f>
        <v>3.6575035131587351E-2</v>
      </c>
      <c r="K122" s="15"/>
      <c r="L122" s="35">
        <f>+D122-H122</f>
        <v>2584.5299999999406</v>
      </c>
      <c r="M122" s="15"/>
      <c r="N122" s="32">
        <f>IF(H122=0,0,L122/H122)</f>
        <v>9.9824300455873899E-2</v>
      </c>
      <c r="O122" s="26"/>
      <c r="P122" s="35">
        <f>SUM(P119:P121)</f>
        <v>-12376.289999999834</v>
      </c>
      <c r="Q122" s="13"/>
      <c r="R122" s="32">
        <f>IF(P$12=0,0,P122/P$12)</f>
        <v>-7.9923401904574941E-3</v>
      </c>
      <c r="S122" s="13"/>
      <c r="T122" s="35">
        <f>SUM(T119:T121)</f>
        <v>54608.079999999667</v>
      </c>
      <c r="U122" s="13"/>
      <c r="V122" s="32">
        <f>IF(T$12=0,0,T122/T$12)</f>
        <v>3.0276670916139174E-2</v>
      </c>
      <c r="W122" s="15"/>
      <c r="X122" s="35">
        <f>+P122-T122</f>
        <v>-66984.369999999501</v>
      </c>
      <c r="Y122" s="15"/>
      <c r="Z122" s="32">
        <f>IF(T122=0,0,X122/T122)</f>
        <v>-1.2266384388537357</v>
      </c>
    </row>
    <row r="123" spans="1:26" ht="15" thickTop="1" x14ac:dyDescent="0.3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A124" s="9"/>
      <c r="B124" s="54">
        <v>44604.028475694446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3">
      <c r="A125" s="9"/>
      <c r="B125" s="53" t="s">
        <v>56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3">
      <c r="A126" s="9"/>
      <c r="B126" s="59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3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","324", " - ", "Textbook Rental")</f>
        <v>Department 324 - Textbook Rental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67541.179999999993</v>
      </c>
      <c r="E12" s="4"/>
      <c r="F12" s="12"/>
      <c r="G12" s="4"/>
      <c r="H12" s="4">
        <f>SUM(OSRRefH13x_0)</f>
        <v>281073.37</v>
      </c>
      <c r="I12" s="4"/>
      <c r="J12" s="12"/>
      <c r="K12" s="4"/>
      <c r="L12" s="4">
        <f t="shared" ref="L12:L16" si="0">+D12-H12</f>
        <v>-213532.19</v>
      </c>
      <c r="M12" s="4"/>
      <c r="N12" s="12">
        <f t="shared" ref="N12:N16" si="1">IF(H12=0,0,L12/H12)</f>
        <v>-0.75970267122780077</v>
      </c>
      <c r="O12" s="10"/>
      <c r="P12" s="4">
        <f>SUM(OSRRefP13x_0)</f>
        <v>401439.02</v>
      </c>
      <c r="Q12" s="4"/>
      <c r="R12" s="12"/>
      <c r="S12" s="4"/>
      <c r="T12" s="4">
        <f>SUM(OSRRefT13x_0)</f>
        <v>757271.77</v>
      </c>
      <c r="U12" s="4"/>
      <c r="V12" s="12"/>
      <c r="W12" s="4"/>
      <c r="X12" s="4">
        <f t="shared" ref="X12:X16" si="2">+P12-T12</f>
        <v>-355832.75</v>
      </c>
      <c r="Y12" s="4"/>
      <c r="Z12" s="12">
        <f t="shared" ref="Z12:Z16" si="3">IF(T12=0,0,X12/T12)</f>
        <v>-0.46988777886174204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--39130.71</f>
        <v>39130.71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39130.71</v>
      </c>
      <c r="M13" s="2"/>
      <c r="N13" s="19">
        <f t="shared" si="1"/>
        <v>0</v>
      </c>
      <c r="O13" s="11"/>
      <c r="P13" s="2">
        <f>--249261.28</f>
        <v>249261.28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249261.28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--80675.4</f>
        <v>80675.399999999994</v>
      </c>
      <c r="I14" s="2"/>
      <c r="J14" s="19"/>
      <c r="K14" s="2"/>
      <c r="L14" s="2">
        <f t="shared" si="0"/>
        <v>-80675.399999999994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--256494.62</f>
        <v>256494.62</v>
      </c>
      <c r="U14" s="2"/>
      <c r="V14" s="19"/>
      <c r="W14" s="2"/>
      <c r="X14" s="2">
        <f t="shared" si="2"/>
        <v>-256494.62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--87429.78</f>
        <v>87429.78</v>
      </c>
      <c r="I15" s="2"/>
      <c r="J15" s="19"/>
      <c r="K15" s="2"/>
      <c r="L15" s="2">
        <f t="shared" si="0"/>
        <v>-87429.78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--222221.29</f>
        <v>222221.29</v>
      </c>
      <c r="U15" s="2"/>
      <c r="V15" s="19"/>
      <c r="W15" s="2"/>
      <c r="X15" s="2">
        <f t="shared" si="2"/>
        <v>-222221.29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--28410.47</f>
        <v>28410.47</v>
      </c>
      <c r="E16" s="2"/>
      <c r="F16" s="19"/>
      <c r="G16" s="2"/>
      <c r="H16" s="2">
        <f>--112968.19</f>
        <v>112968.19</v>
      </c>
      <c r="I16" s="2"/>
      <c r="J16" s="19"/>
      <c r="K16" s="2"/>
      <c r="L16" s="2">
        <f t="shared" si="0"/>
        <v>-84557.72</v>
      </c>
      <c r="M16" s="2"/>
      <c r="N16" s="19">
        <f t="shared" si="1"/>
        <v>-0.74850911570770495</v>
      </c>
      <c r="O16" s="11"/>
      <c r="P16" s="2">
        <f>--152177.74</f>
        <v>152177.74</v>
      </c>
      <c r="Q16" s="2"/>
      <c r="R16" s="19"/>
      <c r="S16" s="2"/>
      <c r="T16" s="2">
        <f>--278555.86</f>
        <v>278555.86</v>
      </c>
      <c r="U16" s="2"/>
      <c r="V16" s="19"/>
      <c r="W16" s="2"/>
      <c r="X16" s="2">
        <f t="shared" si="2"/>
        <v>-126378.12</v>
      </c>
      <c r="Y16" s="2"/>
      <c r="Z16" s="19">
        <f t="shared" si="3"/>
        <v>-0.45369040163075369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37248.870000000003</v>
      </c>
      <c r="E18" s="4"/>
      <c r="F18" s="12">
        <f t="shared" ref="F18:F21" si="6">IF(D$12=0,0,D18/D$12)</f>
        <v>0.55149865607915061</v>
      </c>
      <c r="G18" s="4"/>
      <c r="H18" s="4">
        <f>SUM(OSRRefH16x_0)</f>
        <v>187117.82</v>
      </c>
      <c r="I18" s="4"/>
      <c r="J18" s="12">
        <f t="shared" ref="J18:J21" si="7">IF(H$12=0,0,H18/H$12)</f>
        <v>0.66572589213983524</v>
      </c>
      <c r="K18" s="4"/>
      <c r="L18" s="4">
        <f t="shared" ref="L18:L21" si="8">+D18-H18</f>
        <v>-149868.95000000001</v>
      </c>
      <c r="M18" s="4"/>
      <c r="N18" s="12">
        <f t="shared" ref="N18:N21" si="9">IF(H18=0,0,L18/H18)</f>
        <v>-0.80093360429273919</v>
      </c>
      <c r="O18" s="10"/>
      <c r="P18" s="4">
        <f>SUM(OSRRefP16x_0)</f>
        <v>288451.78000000003</v>
      </c>
      <c r="Q18" s="4"/>
      <c r="R18" s="12">
        <f t="shared" ref="R18:R21" si="10">IF(P$12=0,0,P18/P$12)</f>
        <v>0.71854445041241888</v>
      </c>
      <c r="S18" s="4"/>
      <c r="T18" s="4">
        <f>SUM(OSRRefT16x_0)</f>
        <v>530124.97</v>
      </c>
      <c r="U18" s="4"/>
      <c r="V18" s="12">
        <f t="shared" ref="V18:V21" si="11">IF(T$12=0,0,T18/T$12)</f>
        <v>0.70004586332328211</v>
      </c>
      <c r="W18" s="4"/>
      <c r="X18" s="4">
        <f t="shared" ref="X18:X21" si="12">+P18-T18</f>
        <v>-241673.18999999994</v>
      </c>
      <c r="Y18" s="4"/>
      <c r="Z18" s="12">
        <f t="shared" ref="Z18:Z21" si="13">IF(T18=0,0,X18/T18)</f>
        <v>-0.45587965796065022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37248.870000000003</v>
      </c>
      <c r="E19" s="2"/>
      <c r="F19" s="19">
        <f t="shared" si="6"/>
        <v>0.55149865607915061</v>
      </c>
      <c r="G19" s="2"/>
      <c r="H19" s="2"/>
      <c r="I19" s="2"/>
      <c r="J19" s="19">
        <f t="shared" si="7"/>
        <v>0</v>
      </c>
      <c r="K19" s="2"/>
      <c r="L19" s="2">
        <f t="shared" si="8"/>
        <v>37248.870000000003</v>
      </c>
      <c r="M19" s="2"/>
      <c r="N19" s="19">
        <f t="shared" si="9"/>
        <v>0</v>
      </c>
      <c r="O19" s="11"/>
      <c r="P19" s="2">
        <v>288451.78000000003</v>
      </c>
      <c r="Q19" s="2"/>
      <c r="R19" s="19">
        <f t="shared" si="10"/>
        <v>0.71854445041241888</v>
      </c>
      <c r="S19" s="2"/>
      <c r="T19" s="2"/>
      <c r="U19" s="2"/>
      <c r="V19" s="19">
        <f t="shared" si="11"/>
        <v>0</v>
      </c>
      <c r="W19" s="2"/>
      <c r="X19" s="2">
        <f t="shared" si="12"/>
        <v>288451.78000000003</v>
      </c>
      <c r="Y19" s="2"/>
      <c r="Z19" s="19">
        <f t="shared" si="13"/>
        <v>0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88439.8</v>
      </c>
      <c r="I20" s="2"/>
      <c r="J20" s="19">
        <f t="shared" si="7"/>
        <v>0.31465022815928811</v>
      </c>
      <c r="K20" s="2"/>
      <c r="L20" s="2">
        <f t="shared" si="8"/>
        <v>-88439.8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292811.15999999997</v>
      </c>
      <c r="U20" s="2"/>
      <c r="V20" s="19">
        <f t="shared" si="11"/>
        <v>0.38666588614547187</v>
      </c>
      <c r="W20" s="2"/>
      <c r="X20" s="2">
        <f t="shared" si="12"/>
        <v>-292811.15999999997</v>
      </c>
      <c r="Y20" s="2"/>
      <c r="Z20" s="19">
        <f t="shared" si="13"/>
        <v>-1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>
        <v>98678.02</v>
      </c>
      <c r="I21" s="2"/>
      <c r="J21" s="19">
        <f t="shared" si="7"/>
        <v>0.35107566398054718</v>
      </c>
      <c r="K21" s="2"/>
      <c r="L21" s="2">
        <f t="shared" si="8"/>
        <v>-98678.02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237313.81</v>
      </c>
      <c r="U21" s="2"/>
      <c r="V21" s="19">
        <f t="shared" si="11"/>
        <v>0.3133799771778103</v>
      </c>
      <c r="W21" s="2"/>
      <c r="X21" s="2">
        <f t="shared" si="12"/>
        <v>-237313.81</v>
      </c>
      <c r="Y21" s="2"/>
      <c r="Z21" s="19">
        <f t="shared" si="13"/>
        <v>-1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5" t="s">
        <v>107</v>
      </c>
      <c r="C23" s="25"/>
      <c r="D23" s="21">
        <f>D12-D18</f>
        <v>30292.30999999999</v>
      </c>
      <c r="E23" s="13"/>
      <c r="F23" s="22">
        <f>IF(D$12=0,0,D23/D$12)</f>
        <v>0.44850134392084939</v>
      </c>
      <c r="G23" s="13"/>
      <c r="H23" s="21">
        <f>H12-H18</f>
        <v>93955.549999999988</v>
      </c>
      <c r="I23" s="13"/>
      <c r="J23" s="22">
        <f>IF(H$12=0,0,H23/H$12)</f>
        <v>0.3342741078601647</v>
      </c>
      <c r="K23" s="15"/>
      <c r="L23" s="21">
        <f>+D23-H23</f>
        <v>-63663.24</v>
      </c>
      <c r="M23" s="15"/>
      <c r="N23" s="22">
        <f>IF(H23=0,0,L23/H23)</f>
        <v>-0.67758892369849366</v>
      </c>
      <c r="O23" s="26"/>
      <c r="P23" s="21">
        <f>P12-P18</f>
        <v>112987.23999999999</v>
      </c>
      <c r="Q23" s="13"/>
      <c r="R23" s="22">
        <f>IF(P$12=0,0,P23/P$12)</f>
        <v>0.28145554958758118</v>
      </c>
      <c r="S23" s="13"/>
      <c r="T23" s="21">
        <f>T12-T18</f>
        <v>227146.80000000005</v>
      </c>
      <c r="U23" s="13"/>
      <c r="V23" s="22">
        <f>IF(T$12=0,0,T23/T$12)</f>
        <v>0.29995413667671783</v>
      </c>
      <c r="W23" s="15"/>
      <c r="X23" s="21">
        <f>+P23-T23</f>
        <v>-114159.56000000006</v>
      </c>
      <c r="Y23" s="15"/>
      <c r="Z23" s="22">
        <f>IF(T23=0,0,X23/T23)</f>
        <v>-0.50258053382218038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0">
        <f>SUM(0)</f>
        <v>0</v>
      </c>
      <c r="E25" s="20"/>
      <c r="F25" s="30">
        <f>IF(D$12=0,0,D25/D$12)</f>
        <v>0</v>
      </c>
      <c r="G25" s="20"/>
      <c r="H25" s="20">
        <f>SUM(0)</f>
        <v>0</v>
      </c>
      <c r="I25" s="20"/>
      <c r="J25" s="30">
        <f>IF(H$12=0,0,H25/H$12)</f>
        <v>0</v>
      </c>
      <c r="K25" s="4"/>
      <c r="L25" s="20">
        <f>+D25-H25</f>
        <v>0</v>
      </c>
      <c r="M25" s="4"/>
      <c r="N25" s="30">
        <f>IF(H25=0,0,L25/H25)</f>
        <v>0</v>
      </c>
      <c r="O25" s="10"/>
      <c r="P25" s="20">
        <f>SUM(0)</f>
        <v>0</v>
      </c>
      <c r="Q25" s="20"/>
      <c r="R25" s="30">
        <f>IF(P$12=0,0,P25/P$12)</f>
        <v>0</v>
      </c>
      <c r="S25" s="20"/>
      <c r="T25" s="20">
        <f>SUM(0)</f>
        <v>0</v>
      </c>
      <c r="U25" s="20"/>
      <c r="V25" s="30">
        <f>IF(T$12=0,0,T25/T$12)</f>
        <v>0</v>
      </c>
      <c r="W25" s="4"/>
      <c r="X25" s="20">
        <f>+P25-T25</f>
        <v>0</v>
      </c>
      <c r="Y25" s="4"/>
      <c r="Z25" s="30">
        <f>IF(T25=0,0,X25/T25)</f>
        <v>0</v>
      </c>
    </row>
    <row r="26" spans="1:26" s="52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6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5" t="s">
        <v>276</v>
      </c>
      <c r="C29" s="25"/>
      <c r="D29" s="21">
        <f>+D23-D25+D27</f>
        <v>30292.30999999999</v>
      </c>
      <c r="E29" s="13"/>
      <c r="F29" s="22">
        <f>IF(D$12=0,0,D29/D$12)</f>
        <v>0.44850134392084939</v>
      </c>
      <c r="G29" s="13"/>
      <c r="H29" s="21">
        <f>+H23-H25+H27</f>
        <v>93955.549999999988</v>
      </c>
      <c r="I29" s="13"/>
      <c r="J29" s="22">
        <f>IF(H$12=0,0,H29/H$12)</f>
        <v>0.3342741078601647</v>
      </c>
      <c r="K29" s="15"/>
      <c r="L29" s="21">
        <f>+D29-H29</f>
        <v>-63663.24</v>
      </c>
      <c r="M29" s="15"/>
      <c r="N29" s="22">
        <f>IF(H29=0,0,L29/H29)</f>
        <v>-0.67758892369849366</v>
      </c>
      <c r="O29" s="26"/>
      <c r="P29" s="21">
        <f>+P23-P25+P27</f>
        <v>112987.23999999999</v>
      </c>
      <c r="Q29" s="13"/>
      <c r="R29" s="22">
        <f>IF(P$12=0,0,P29/P$12)</f>
        <v>0.28145554958758118</v>
      </c>
      <c r="S29" s="13"/>
      <c r="T29" s="21">
        <f>+T23-T25+T27</f>
        <v>227146.80000000005</v>
      </c>
      <c r="U29" s="13"/>
      <c r="V29" s="22">
        <f>IF(T$12=0,0,T29/T$12)</f>
        <v>0.29995413667671783</v>
      </c>
      <c r="W29" s="15"/>
      <c r="X29" s="21">
        <f>+P29-T29</f>
        <v>-114159.56000000006</v>
      </c>
      <c r="Y29" s="15"/>
      <c r="Z29" s="22">
        <f>IF(T29=0,0,X29/T29)</f>
        <v>-0.50258053382218038</v>
      </c>
    </row>
    <row r="30" spans="1:26" x14ac:dyDescent="0.3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51"/>
      <c r="B31" s="10" t="s">
        <v>127</v>
      </c>
      <c r="C31" s="10"/>
      <c r="D31" s="4">
        <v>12945.88</v>
      </c>
      <c r="E31" s="4"/>
      <c r="F31" s="12">
        <f>IF(D$12=0,0,D31/D$12)</f>
        <v>0.19167387955022402</v>
      </c>
      <c r="G31" s="4"/>
      <c r="H31" s="4">
        <v>49358.07</v>
      </c>
      <c r="I31" s="4"/>
      <c r="J31" s="12">
        <f>IF(H$12=0,0,H31/H$12)</f>
        <v>0.17560564346597474</v>
      </c>
      <c r="K31" s="4"/>
      <c r="L31" s="4">
        <f>+D31-H31</f>
        <v>-36412.19</v>
      </c>
      <c r="M31" s="4"/>
      <c r="N31" s="12">
        <f>IF(H31=0,0,L31/H31)</f>
        <v>-0.73771502816054202</v>
      </c>
      <c r="O31" s="10"/>
      <c r="P31" s="4">
        <v>53137.43</v>
      </c>
      <c r="Q31" s="4"/>
      <c r="R31" s="12">
        <f>IF(P$12=0,0,P31/P$12)</f>
        <v>0.13236737674379537</v>
      </c>
      <c r="S31" s="4"/>
      <c r="T31" s="4">
        <v>137464.85999999999</v>
      </c>
      <c r="U31" s="4"/>
      <c r="V31" s="12">
        <f>IF(T$12=0,0,T31/T$12)</f>
        <v>0.18152645515889226</v>
      </c>
      <c r="W31" s="4"/>
      <c r="X31" s="4">
        <f>+P31-T31</f>
        <v>-84327.43</v>
      </c>
      <c r="Y31" s="4"/>
      <c r="Z31" s="12">
        <f>IF(T31=0,0,X31/T31)</f>
        <v>-0.61344717479070654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5" t="s">
        <v>125</v>
      </c>
      <c r="C33" s="25"/>
      <c r="D33" s="36">
        <f>+D29-D31</f>
        <v>17346.429999999993</v>
      </c>
      <c r="E33" s="13"/>
      <c r="F33" s="31">
        <f>IF(D$12=0,0,D33/D$12)</f>
        <v>0.25682746437062537</v>
      </c>
      <c r="G33" s="13"/>
      <c r="H33" s="36">
        <f>+H29-H31</f>
        <v>44597.479999999989</v>
      </c>
      <c r="I33" s="13"/>
      <c r="J33" s="31">
        <f>IF(H$12=0,0,H33/H$12)</f>
        <v>0.15866846439419</v>
      </c>
      <c r="K33" s="15"/>
      <c r="L33" s="36">
        <f>D33-H33</f>
        <v>-27251.049999999996</v>
      </c>
      <c r="M33" s="15"/>
      <c r="N33" s="31">
        <f>IF(H33=0,0,L33/H33)</f>
        <v>-0.61104461507690577</v>
      </c>
      <c r="O33" s="26"/>
      <c r="P33" s="36">
        <f>+P29-P31</f>
        <v>59849.80999999999</v>
      </c>
      <c r="Q33" s="13"/>
      <c r="R33" s="31">
        <f>IF(P$12=0,0,P33/P$12)</f>
        <v>0.14908817284378581</v>
      </c>
      <c r="S33" s="13"/>
      <c r="T33" s="36">
        <f>+T29-T31</f>
        <v>89681.940000000061</v>
      </c>
      <c r="U33" s="13"/>
      <c r="V33" s="31">
        <f>IF(T$12=0,0,T33/T$12)</f>
        <v>0.11842768151782557</v>
      </c>
      <c r="W33" s="15"/>
      <c r="X33" s="36">
        <f>P33-T33</f>
        <v>-29832.13000000007</v>
      </c>
      <c r="Y33" s="15"/>
      <c r="Z33" s="31">
        <f>IF(T33=0,0,X33/T33)</f>
        <v>-0.33264367385451354</v>
      </c>
    </row>
    <row r="34" spans="1:26" ht="15" thickTop="1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>
        <f>SUM(D33:D35)</f>
        <v>17346.429999999993</v>
      </c>
      <c r="E36" s="13"/>
      <c r="F36" s="32">
        <f>IF(D$12=0,0,D36/D$12)</f>
        <v>0.25682746437062537</v>
      </c>
      <c r="G36" s="13"/>
      <c r="H36" s="35">
        <f>SUM(H33:H35)</f>
        <v>44597.479999999989</v>
      </c>
      <c r="I36" s="13"/>
      <c r="J36" s="32">
        <f>IF(H$12=0,0,H36/H$12)</f>
        <v>0.15866846439419</v>
      </c>
      <c r="K36" s="15"/>
      <c r="L36" s="35">
        <f>+D36-H36</f>
        <v>-27251.049999999996</v>
      </c>
      <c r="M36" s="15"/>
      <c r="N36" s="32">
        <f>IF(H36=0,0,L36/H36)</f>
        <v>-0.61104461507690577</v>
      </c>
      <c r="O36" s="26"/>
      <c r="P36" s="35">
        <f>SUM(P33:P35)</f>
        <v>59849.80999999999</v>
      </c>
      <c r="Q36" s="13"/>
      <c r="R36" s="32">
        <f>IF(P$12=0,0,P36/P$12)</f>
        <v>0.14908817284378581</v>
      </c>
      <c r="S36" s="13"/>
      <c r="T36" s="35">
        <f>SUM(T33:T35)</f>
        <v>89681.940000000061</v>
      </c>
      <c r="U36" s="13"/>
      <c r="V36" s="32">
        <f>IF(T$12=0,0,T36/T$12)</f>
        <v>0.11842768151782557</v>
      </c>
      <c r="W36" s="15"/>
      <c r="X36" s="35">
        <f>+P36-T36</f>
        <v>-29832.13000000007</v>
      </c>
      <c r="Y36" s="15"/>
      <c r="Z36" s="32">
        <f>IF(T36=0,0,X36/T36)</f>
        <v>-0.33264367385451354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>
        <v>44604.028475694446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s">
        <v>56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1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181923.38000000003</v>
      </c>
      <c r="E12" s="4"/>
      <c r="F12" s="12"/>
      <c r="G12" s="4"/>
      <c r="H12" s="4">
        <f>SUM(OSRRefH13x_0)</f>
        <v>160292.38000000006</v>
      </c>
      <c r="I12" s="4"/>
      <c r="J12" s="12"/>
      <c r="K12" s="4"/>
      <c r="L12" s="4">
        <f t="shared" ref="L12:L56" si="0">+D12-H12</f>
        <v>21630.999999999971</v>
      </c>
      <c r="M12" s="4"/>
      <c r="N12" s="12">
        <f t="shared" ref="N12:N56" si="1">IF(H12=0,0,L12/H12)</f>
        <v>0.13494715095003246</v>
      </c>
      <c r="O12" s="10"/>
      <c r="P12" s="4">
        <f>SUM(OSRRefP13x_0)</f>
        <v>2344485.1900000004</v>
      </c>
      <c r="Q12" s="4"/>
      <c r="R12" s="12"/>
      <c r="S12" s="4"/>
      <c r="T12" s="4">
        <f>SUM(OSRRefT13x_0)</f>
        <v>1212124.8499999996</v>
      </c>
      <c r="U12" s="4"/>
      <c r="V12" s="12"/>
      <c r="W12" s="4"/>
      <c r="X12" s="4">
        <f t="shared" ref="X12:X56" si="2">+P12-T12</f>
        <v>1132360.3400000008</v>
      </c>
      <c r="Y12" s="4"/>
      <c r="Z12" s="12">
        <f t="shared" ref="Z12:Z56" si="3">IF(T12=0,0,X12/T12)</f>
        <v>0.93419447674882761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--177172.42</f>
        <v>177172.42</v>
      </c>
      <c r="E13" s="2"/>
      <c r="F13" s="19"/>
      <c r="G13" s="2"/>
      <c r="H13" s="2">
        <f>-11343.01</f>
        <v>-11343.01</v>
      </c>
      <c r="I13" s="2"/>
      <c r="J13" s="19"/>
      <c r="K13" s="2"/>
      <c r="L13" s="2">
        <f t="shared" si="0"/>
        <v>188515.43000000002</v>
      </c>
      <c r="M13" s="2"/>
      <c r="N13" s="19">
        <f t="shared" si="1"/>
        <v>-16.619524270894587</v>
      </c>
      <c r="O13" s="11"/>
      <c r="P13" s="2">
        <f>--2206416.89</f>
        <v>2206416.89</v>
      </c>
      <c r="Q13" s="2"/>
      <c r="R13" s="19"/>
      <c r="S13" s="2"/>
      <c r="T13" s="2">
        <f>-93237.72</f>
        <v>-93237.72</v>
      </c>
      <c r="U13" s="2"/>
      <c r="V13" s="19"/>
      <c r="W13" s="2"/>
      <c r="X13" s="2">
        <f t="shared" si="2"/>
        <v>2299654.6100000003</v>
      </c>
      <c r="Y13" s="2"/>
      <c r="Z13" s="19">
        <f t="shared" si="3"/>
        <v>-24.664423475820733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6" si="4">0</f>
        <v>0</v>
      </c>
      <c r="E14" s="2"/>
      <c r="F14" s="19"/>
      <c r="G14" s="2"/>
      <c r="H14" s="2">
        <f>--34.62</f>
        <v>34.619999999999997</v>
      </c>
      <c r="I14" s="2"/>
      <c r="J14" s="19"/>
      <c r="K14" s="2"/>
      <c r="L14" s="2">
        <f t="shared" si="0"/>
        <v>-34.619999999999997</v>
      </c>
      <c r="M14" s="2"/>
      <c r="N14" s="19">
        <f t="shared" si="1"/>
        <v>-1</v>
      </c>
      <c r="O14" s="11"/>
      <c r="P14" s="2">
        <f t="shared" ref="P14:P26" si="5">0</f>
        <v>0</v>
      </c>
      <c r="Q14" s="2"/>
      <c r="R14" s="19"/>
      <c r="S14" s="2"/>
      <c r="T14" s="2">
        <f>--407</f>
        <v>407</v>
      </c>
      <c r="U14" s="2"/>
      <c r="V14" s="19"/>
      <c r="W14" s="2"/>
      <c r="X14" s="2">
        <f t="shared" si="2"/>
        <v>-407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--8701.79</f>
        <v>8701.7900000000009</v>
      </c>
      <c r="I15" s="2"/>
      <c r="J15" s="19"/>
      <c r="K15" s="2"/>
      <c r="L15" s="2">
        <f t="shared" si="0"/>
        <v>-8701.7900000000009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--48676.22</f>
        <v>48676.22</v>
      </c>
      <c r="U15" s="2"/>
      <c r="V15" s="19"/>
      <c r="W15" s="2"/>
      <c r="X15" s="2">
        <f t="shared" si="2"/>
        <v>-48676.22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--21773.01</f>
        <v>21773.01</v>
      </c>
      <c r="I16" s="2"/>
      <c r="J16" s="19"/>
      <c r="K16" s="2"/>
      <c r="L16" s="2">
        <f t="shared" si="0"/>
        <v>-21773.01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--38951.82</f>
        <v>38951.82</v>
      </c>
      <c r="U16" s="2"/>
      <c r="V16" s="19"/>
      <c r="W16" s="2"/>
      <c r="X16" s="2">
        <f t="shared" si="2"/>
        <v>-38951.82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--477.59</f>
        <v>477.59</v>
      </c>
      <c r="I17" s="2"/>
      <c r="J17" s="19"/>
      <c r="K17" s="2"/>
      <c r="L17" s="2">
        <f t="shared" si="0"/>
        <v>-477.59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--2587.24</f>
        <v>2587.2399999999998</v>
      </c>
      <c r="U17" s="2"/>
      <c r="V17" s="19"/>
      <c r="W17" s="2"/>
      <c r="X17" s="2">
        <f t="shared" si="2"/>
        <v>-2587.2399999999998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--89991.91</f>
        <v>89991.91</v>
      </c>
      <c r="I19" s="2"/>
      <c r="J19" s="19"/>
      <c r="K19" s="2"/>
      <c r="L19" s="2">
        <f t="shared" si="0"/>
        <v>-89991.91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--598102.9</f>
        <v>598102.9</v>
      </c>
      <c r="U19" s="2"/>
      <c r="V19" s="19"/>
      <c r="W19" s="2"/>
      <c r="X19" s="2">
        <f t="shared" si="2"/>
        <v>-598102.9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--23919.25</f>
        <v>23919.25</v>
      </c>
      <c r="I20" s="2"/>
      <c r="J20" s="19"/>
      <c r="K20" s="2"/>
      <c r="L20" s="2">
        <f t="shared" si="0"/>
        <v>-23919.25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--160593.3</f>
        <v>160593.29999999999</v>
      </c>
      <c r="U20" s="2"/>
      <c r="V20" s="19"/>
      <c r="W20" s="2"/>
      <c r="X20" s="2">
        <f t="shared" si="2"/>
        <v>-160593.29999999999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--7611.45</f>
        <v>7611.45</v>
      </c>
      <c r="I21" s="2"/>
      <c r="J21" s="19"/>
      <c r="K21" s="2"/>
      <c r="L21" s="2">
        <f t="shared" si="0"/>
        <v>-7611.45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--59655.3</f>
        <v>59655.3</v>
      </c>
      <c r="U21" s="2"/>
      <c r="V21" s="19"/>
      <c r="W21" s="2"/>
      <c r="X21" s="2">
        <f t="shared" si="2"/>
        <v>-59655.3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--24827.31</f>
        <v>24827.31</v>
      </c>
      <c r="I22" s="2"/>
      <c r="J22" s="19"/>
      <c r="K22" s="2"/>
      <c r="L22" s="2">
        <f t="shared" si="0"/>
        <v>-24827.31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--117920.5</f>
        <v>117920.5</v>
      </c>
      <c r="U22" s="2"/>
      <c r="V22" s="19"/>
      <c r="W22" s="2"/>
      <c r="X22" s="2">
        <f t="shared" si="2"/>
        <v>-117920.5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--1261.95</f>
        <v>1261.95</v>
      </c>
      <c r="I23" s="2"/>
      <c r="J23" s="19"/>
      <c r="K23" s="2"/>
      <c r="L23" s="2">
        <f t="shared" si="0"/>
        <v>-1261.95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--27535.62</f>
        <v>27535.62</v>
      </c>
      <c r="U23" s="2"/>
      <c r="V23" s="19"/>
      <c r="W23" s="2"/>
      <c r="X23" s="2">
        <f t="shared" si="2"/>
        <v>-27535.62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--3388.52</f>
        <v>3388.52</v>
      </c>
      <c r="I24" s="2"/>
      <c r="J24" s="19"/>
      <c r="K24" s="2"/>
      <c r="L24" s="2">
        <f t="shared" si="0"/>
        <v>-3388.52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--125449.67</f>
        <v>125449.67</v>
      </c>
      <c r="U24" s="2"/>
      <c r="V24" s="19"/>
      <c r="W24" s="2"/>
      <c r="X24" s="2">
        <f t="shared" si="2"/>
        <v>-125449.67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 t="shared" si="4"/>
        <v>0</v>
      </c>
      <c r="E25" s="2"/>
      <c r="F25" s="19"/>
      <c r="G25" s="2"/>
      <c r="H25" s="2">
        <f t="shared" ref="H25:H28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--71.95</f>
        <v>71.95</v>
      </c>
      <c r="U25" s="2"/>
      <c r="V25" s="19"/>
      <c r="W25" s="2"/>
      <c r="X25" s="2">
        <f t="shared" si="2"/>
        <v>-71.95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"4083", " - ", "TAXABLE SALES-COMPUTER EQUIPME")</f>
        <v xml:space="preserve">          4083 - TAXABLE SALES-COMPUTER EQUIPME</v>
      </c>
      <c r="C26" s="11"/>
      <c r="D26" s="2">
        <f t="shared" si="4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--9.99</f>
        <v>9.99</v>
      </c>
      <c r="U26" s="2"/>
      <c r="V26" s="19"/>
      <c r="W26" s="2"/>
      <c r="X26" s="2">
        <f t="shared" si="2"/>
        <v>-9.99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"4100", " - ", "NON-TAXABLE SALES")</f>
        <v xml:space="preserve">          4100 - NON-TAXABLE SALES</v>
      </c>
      <c r="C27" s="11"/>
      <c r="D27" s="2">
        <f>--18013.61</f>
        <v>18013.61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18013.61</v>
      </c>
      <c r="M27" s="2"/>
      <c r="N27" s="19">
        <f t="shared" si="1"/>
        <v>0</v>
      </c>
      <c r="O27" s="11"/>
      <c r="P27" s="2">
        <f>--273000.52</f>
        <v>273000.52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273000.52</v>
      </c>
      <c r="Y27" s="2"/>
      <c r="Z27" s="19">
        <f t="shared" si="3"/>
        <v>0</v>
      </c>
    </row>
    <row r="28" spans="1:26" s="24" customFormat="1" hidden="1" outlineLevel="1" x14ac:dyDescent="0.3">
      <c r="A28" s="44"/>
      <c r="B28" s="11" t="str">
        <f>CONCATENATE("          ", "4126", " - ", "NON-TAXABLE SALES-WRITING INST")</f>
        <v xml:space="preserve">          4126 - NON-TAXABLE SALES-WRITING INST</v>
      </c>
      <c r="C28" s="11"/>
      <c r="D28" s="2">
        <f t="shared" ref="D28:D41" si="7">0</f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ref="P28:P41" si="8">0</f>
        <v>0</v>
      </c>
      <c r="Q28" s="2"/>
      <c r="R28" s="19"/>
      <c r="S28" s="2"/>
      <c r="T28" s="2">
        <f>--52.68</f>
        <v>52.68</v>
      </c>
      <c r="U28" s="2"/>
      <c r="V28" s="19"/>
      <c r="W28" s="2"/>
      <c r="X28" s="2">
        <f t="shared" si="2"/>
        <v>-52.68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si="7"/>
        <v>0</v>
      </c>
      <c r="E29" s="2"/>
      <c r="F29" s="19"/>
      <c r="G29" s="2"/>
      <c r="H29" s="2">
        <f>--2539.06</f>
        <v>2539.06</v>
      </c>
      <c r="I29" s="2"/>
      <c r="J29" s="19"/>
      <c r="K29" s="2"/>
      <c r="L29" s="2">
        <f t="shared" si="0"/>
        <v>-2539.06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--5745.17</f>
        <v>5745.17</v>
      </c>
      <c r="U29" s="2"/>
      <c r="V29" s="19"/>
      <c r="W29" s="2"/>
      <c r="X29" s="2">
        <f t="shared" si="2"/>
        <v>-5745.17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7"/>
        <v>0</v>
      </c>
      <c r="E30" s="2"/>
      <c r="F30" s="19"/>
      <c r="G30" s="2"/>
      <c r="H30" s="2">
        <f>--4.72</f>
        <v>4.72</v>
      </c>
      <c r="I30" s="2"/>
      <c r="J30" s="19"/>
      <c r="K30" s="2"/>
      <c r="L30" s="2">
        <f t="shared" si="0"/>
        <v>-4.72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--29.5</f>
        <v>29.5</v>
      </c>
      <c r="U30" s="2"/>
      <c r="V30" s="19"/>
      <c r="W30" s="2"/>
      <c r="X30" s="2">
        <f t="shared" si="2"/>
        <v>-29.5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 t="shared" si="7"/>
        <v>0</v>
      </c>
      <c r="E31" s="2"/>
      <c r="F31" s="19"/>
      <c r="G31" s="2"/>
      <c r="H31" s="2">
        <f>--1098.12</f>
        <v>1098.1199999999999</v>
      </c>
      <c r="I31" s="2"/>
      <c r="J31" s="19"/>
      <c r="K31" s="2"/>
      <c r="L31" s="2">
        <f t="shared" si="0"/>
        <v>-1098.1199999999999</v>
      </c>
      <c r="M31" s="2"/>
      <c r="N31" s="19">
        <f t="shared" si="1"/>
        <v>-1</v>
      </c>
      <c r="O31" s="11"/>
      <c r="P31" s="2">
        <f t="shared" si="8"/>
        <v>0</v>
      </c>
      <c r="Q31" s="2"/>
      <c r="R31" s="19"/>
      <c r="S31" s="2"/>
      <c r="T31" s="2">
        <f>--8640.27</f>
        <v>8640.27</v>
      </c>
      <c r="U31" s="2"/>
      <c r="V31" s="19"/>
      <c r="W31" s="2"/>
      <c r="X31" s="2">
        <f t="shared" si="2"/>
        <v>-8640.27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si="7"/>
        <v>0</v>
      </c>
      <c r="E32" s="2"/>
      <c r="F32" s="19"/>
      <c r="G32" s="2"/>
      <c r="H32" s="2">
        <f t="shared" ref="H32:H35" si="9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--22.49</f>
        <v>22.49</v>
      </c>
      <c r="U32" s="2"/>
      <c r="V32" s="19"/>
      <c r="W32" s="2"/>
      <c r="X32" s="2">
        <f t="shared" si="2"/>
        <v>-22.49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--80.71</f>
        <v>80.709999999999994</v>
      </c>
      <c r="U33" s="2"/>
      <c r="V33" s="19"/>
      <c r="W33" s="2"/>
      <c r="X33" s="2">
        <f t="shared" si="2"/>
        <v>-80.709999999999994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"4134", " - ", "NON-TAXABLE SALES-SODA")</f>
        <v xml:space="preserve">          4134 - NON-TAXABLE SALES-SODA</v>
      </c>
      <c r="C34" s="11"/>
      <c r="D34" s="2">
        <f t="shared" si="7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si="8"/>
        <v>0</v>
      </c>
      <c r="Q34" s="2"/>
      <c r="R34" s="19"/>
      <c r="S34" s="2"/>
      <c r="T34" s="2">
        <f>--45.53</f>
        <v>45.53</v>
      </c>
      <c r="U34" s="2"/>
      <c r="V34" s="19"/>
      <c r="W34" s="2"/>
      <c r="X34" s="2">
        <f t="shared" si="2"/>
        <v>-45.53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7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8"/>
        <v>0</v>
      </c>
      <c r="Q35" s="2"/>
      <c r="R35" s="19"/>
      <c r="S35" s="2"/>
      <c r="T35" s="2">
        <f>--68.25</f>
        <v>68.25</v>
      </c>
      <c r="U35" s="2"/>
      <c r="V35" s="19"/>
      <c r="W35" s="2"/>
      <c r="X35" s="2">
        <f t="shared" si="2"/>
        <v>-68.25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"4140", " - ", "NON-TAXABLE SALES-LOGO CLOTHIN")</f>
        <v xml:space="preserve">          4140 - NON-TAXABLE SALES-LOGO CLOTHIN</v>
      </c>
      <c r="C36" s="11"/>
      <c r="D36" s="2">
        <f t="shared" si="7"/>
        <v>0</v>
      </c>
      <c r="E36" s="2"/>
      <c r="F36" s="19"/>
      <c r="G36" s="2"/>
      <c r="H36" s="2">
        <f>--9206.45</f>
        <v>9206.4500000000007</v>
      </c>
      <c r="I36" s="2"/>
      <c r="J36" s="19"/>
      <c r="K36" s="2"/>
      <c r="L36" s="2">
        <f t="shared" si="0"/>
        <v>-9206.4500000000007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--113177.42</f>
        <v>113177.42</v>
      </c>
      <c r="U36" s="2"/>
      <c r="V36" s="19"/>
      <c r="W36" s="2"/>
      <c r="X36" s="2">
        <f t="shared" si="2"/>
        <v>-113177.42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"4141", " - ", "NON-TAXABLE SALES-LOGO GIFTS")</f>
        <v xml:space="preserve">          4141 - NON-TAXABLE SALES-LOGO GIFTS</v>
      </c>
      <c r="C37" s="11"/>
      <c r="D37" s="2">
        <f t="shared" si="7"/>
        <v>0</v>
      </c>
      <c r="E37" s="2"/>
      <c r="F37" s="19"/>
      <c r="G37" s="2"/>
      <c r="H37" s="2">
        <f>--1163.92</f>
        <v>1163.92</v>
      </c>
      <c r="I37" s="2"/>
      <c r="J37" s="19"/>
      <c r="K37" s="2"/>
      <c r="L37" s="2">
        <f t="shared" si="0"/>
        <v>-1163.92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--6613.52</f>
        <v>6613.52</v>
      </c>
      <c r="U37" s="2"/>
      <c r="V37" s="19"/>
      <c r="W37" s="2"/>
      <c r="X37" s="2">
        <f t="shared" si="2"/>
        <v>-6613.52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"4142", " - ", "NON-TAXABLE SALES-EVERYDAY GIF")</f>
        <v xml:space="preserve">          4142 - NON-TAXABLE SALES-EVERYDAY GIF</v>
      </c>
      <c r="C38" s="11"/>
      <c r="D38" s="2">
        <f t="shared" si="7"/>
        <v>0</v>
      </c>
      <c r="E38" s="2"/>
      <c r="F38" s="19"/>
      <c r="G38" s="2"/>
      <c r="H38" s="2">
        <f>--51.7</f>
        <v>51.7</v>
      </c>
      <c r="I38" s="2"/>
      <c r="J38" s="19"/>
      <c r="K38" s="2"/>
      <c r="L38" s="2">
        <f t="shared" si="0"/>
        <v>-51.7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--1149.3</f>
        <v>1149.3</v>
      </c>
      <c r="U38" s="2"/>
      <c r="V38" s="19"/>
      <c r="W38" s="2"/>
      <c r="X38" s="2">
        <f t="shared" si="2"/>
        <v>-1149.3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"4143", " - ", "NON-TAXABLE SALES-CARDS")</f>
        <v xml:space="preserve">          4143 - NON-TAXABLE SALES-CARDS</v>
      </c>
      <c r="C39" s="11"/>
      <c r="D39" s="2">
        <f t="shared" si="7"/>
        <v>0</v>
      </c>
      <c r="E39" s="2"/>
      <c r="F39" s="19"/>
      <c r="G39" s="2"/>
      <c r="H39" s="2">
        <f>--232.71</f>
        <v>232.71</v>
      </c>
      <c r="I39" s="2"/>
      <c r="J39" s="19"/>
      <c r="K39" s="2"/>
      <c r="L39" s="2">
        <f t="shared" si="0"/>
        <v>-232.71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--1969.74</f>
        <v>1969.74</v>
      </c>
      <c r="U39" s="2"/>
      <c r="V39" s="19"/>
      <c r="W39" s="2"/>
      <c r="X39" s="2">
        <f t="shared" si="2"/>
        <v>-1969.74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"4144", " - ", "NON-TAXABLE SALES-ACCESSORIES")</f>
        <v xml:space="preserve">          4144 - NON-TAXABLE SALES-ACCESSORIES</v>
      </c>
      <c r="C40" s="11"/>
      <c r="D40" s="2">
        <f t="shared" si="7"/>
        <v>0</v>
      </c>
      <c r="E40" s="2"/>
      <c r="F40" s="19"/>
      <c r="G40" s="2"/>
      <c r="H40" s="2">
        <f>--119.9</f>
        <v>119.9</v>
      </c>
      <c r="I40" s="2"/>
      <c r="J40" s="19"/>
      <c r="K40" s="2"/>
      <c r="L40" s="2">
        <f t="shared" si="0"/>
        <v>-119.9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--609.4</f>
        <v>609.4</v>
      </c>
      <c r="U40" s="2"/>
      <c r="V40" s="19"/>
      <c r="W40" s="2"/>
      <c r="X40" s="2">
        <f t="shared" si="2"/>
        <v>-609.4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"4145", " - ", "NON-TAXABLE SALES-SPECIAL ORDE")</f>
        <v xml:space="preserve">          4145 - NON-TAXABLE SALES-SPECIAL ORDE</v>
      </c>
      <c r="C41" s="11"/>
      <c r="D41" s="2">
        <f t="shared" si="7"/>
        <v>0</v>
      </c>
      <c r="E41" s="2"/>
      <c r="F41" s="19"/>
      <c r="G41" s="2"/>
      <c r="H41" s="2">
        <f>-1677.68</f>
        <v>-1677.68</v>
      </c>
      <c r="I41" s="2"/>
      <c r="J41" s="19"/>
      <c r="K41" s="2"/>
      <c r="L41" s="2">
        <f t="shared" si="0"/>
        <v>1677.68</v>
      </c>
      <c r="M41" s="2"/>
      <c r="N41" s="19">
        <f t="shared" si="1"/>
        <v>-1</v>
      </c>
      <c r="O41" s="11"/>
      <c r="P41" s="2">
        <f t="shared" si="8"/>
        <v>0</v>
      </c>
      <c r="Q41" s="2"/>
      <c r="R41" s="19"/>
      <c r="S41" s="2"/>
      <c r="T41" s="2">
        <f>--53716.09</f>
        <v>53716.09</v>
      </c>
      <c r="U41" s="2"/>
      <c r="V41" s="19"/>
      <c r="W41" s="2"/>
      <c r="X41" s="2">
        <f t="shared" si="2"/>
        <v>-53716.09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"4200", " - ", "TAXABLE RETURNS")</f>
        <v xml:space="preserve">          4200 - TAXABLE RETURNS</v>
      </c>
      <c r="C42" s="11"/>
      <c r="D42" s="2">
        <f>-8289.38</f>
        <v>-8289.3799999999992</v>
      </c>
      <c r="E42" s="2"/>
      <c r="F42" s="19"/>
      <c r="G42" s="2"/>
      <c r="H42" s="2">
        <f t="shared" ref="H42:H43" si="10">0</f>
        <v>0</v>
      </c>
      <c r="I42" s="2"/>
      <c r="J42" s="19"/>
      <c r="K42" s="2"/>
      <c r="L42" s="2">
        <f t="shared" si="0"/>
        <v>-8289.3799999999992</v>
      </c>
      <c r="M42" s="2"/>
      <c r="N42" s="19">
        <f t="shared" si="1"/>
        <v>0</v>
      </c>
      <c r="O42" s="11"/>
      <c r="P42" s="2">
        <f>-65912.17</f>
        <v>-65912.17</v>
      </c>
      <c r="Q42" s="2"/>
      <c r="R42" s="19"/>
      <c r="S42" s="2"/>
      <c r="T42" s="2">
        <f>0</f>
        <v>0</v>
      </c>
      <c r="U42" s="2"/>
      <c r="V42" s="19"/>
      <c r="W42" s="2"/>
      <c r="X42" s="2">
        <f t="shared" si="2"/>
        <v>-65912.17</v>
      </c>
      <c r="Y42" s="2"/>
      <c r="Z42" s="19">
        <f t="shared" si="3"/>
        <v>0</v>
      </c>
    </row>
    <row r="43" spans="1:26" s="24" customFormat="1" hidden="1" outlineLevel="1" x14ac:dyDescent="0.3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 t="shared" ref="D43:D51" si="11">0</f>
        <v>0</v>
      </c>
      <c r="E43" s="2"/>
      <c r="F43" s="19"/>
      <c r="G43" s="2"/>
      <c r="H43" s="2">
        <f t="shared" si="10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ref="P43:P51" si="12">0</f>
        <v>0</v>
      </c>
      <c r="Q43" s="2"/>
      <c r="R43" s="19"/>
      <c r="S43" s="2"/>
      <c r="T43" s="2">
        <f>-34.23</f>
        <v>-34.229999999999997</v>
      </c>
      <c r="U43" s="2"/>
      <c r="V43" s="19"/>
      <c r="W43" s="2"/>
      <c r="X43" s="2">
        <f t="shared" si="2"/>
        <v>34.229999999999997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 t="shared" si="11"/>
        <v>0</v>
      </c>
      <c r="E44" s="2"/>
      <c r="F44" s="19"/>
      <c r="G44" s="2"/>
      <c r="H44" s="2">
        <f>-126.22</f>
        <v>-126.22</v>
      </c>
      <c r="I44" s="2"/>
      <c r="J44" s="19"/>
      <c r="K44" s="2"/>
      <c r="L44" s="2">
        <f t="shared" si="0"/>
        <v>126.22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-762.68</f>
        <v>-762.68</v>
      </c>
      <c r="U44" s="2"/>
      <c r="V44" s="19"/>
      <c r="W44" s="2"/>
      <c r="X44" s="2">
        <f t="shared" si="2"/>
        <v>762.68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 t="shared" si="11"/>
        <v>0</v>
      </c>
      <c r="E45" s="2"/>
      <c r="F45" s="19"/>
      <c r="G45" s="2"/>
      <c r="H45" s="2">
        <f>-12473.84</f>
        <v>-12473.84</v>
      </c>
      <c r="I45" s="2"/>
      <c r="J45" s="19"/>
      <c r="K45" s="2"/>
      <c r="L45" s="2">
        <f t="shared" si="0"/>
        <v>12473.84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-12728.53</f>
        <v>-12728.53</v>
      </c>
      <c r="U45" s="2"/>
      <c r="V45" s="19"/>
      <c r="W45" s="2"/>
      <c r="X45" s="2">
        <f t="shared" si="2"/>
        <v>12728.53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"4240", " - ", "SALES RETURN TAXABLE-LOGO CLOT")</f>
        <v xml:space="preserve">          4240 - SALES RETURN TAXABLE-LOGO CLOT</v>
      </c>
      <c r="C46" s="11"/>
      <c r="D46" s="2">
        <f t="shared" si="11"/>
        <v>0</v>
      </c>
      <c r="E46" s="2"/>
      <c r="F46" s="19"/>
      <c r="G46" s="2"/>
      <c r="H46" s="2">
        <f>-7168.03</f>
        <v>-7168.03</v>
      </c>
      <c r="I46" s="2"/>
      <c r="J46" s="19"/>
      <c r="K46" s="2"/>
      <c r="L46" s="2">
        <f t="shared" si="0"/>
        <v>7168.03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-27586.87</f>
        <v>-27586.87</v>
      </c>
      <c r="U46" s="2"/>
      <c r="V46" s="19"/>
      <c r="W46" s="2"/>
      <c r="X46" s="2">
        <f t="shared" si="2"/>
        <v>27586.87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"4241", " - ", "SALES RETURN TAXABLE-LOGO GIFT")</f>
        <v xml:space="preserve">          4241 - SALES RETURN TAXABLE-LOGO GIFT</v>
      </c>
      <c r="C47" s="11"/>
      <c r="D47" s="2">
        <f t="shared" si="11"/>
        <v>0</v>
      </c>
      <c r="E47" s="2"/>
      <c r="F47" s="19"/>
      <c r="G47" s="2"/>
      <c r="H47" s="2">
        <f>-981.71</f>
        <v>-981.71</v>
      </c>
      <c r="I47" s="2"/>
      <c r="J47" s="19"/>
      <c r="K47" s="2"/>
      <c r="L47" s="2">
        <f t="shared" si="0"/>
        <v>981.71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-3703.37</f>
        <v>-3703.37</v>
      </c>
      <c r="U47" s="2"/>
      <c r="V47" s="19"/>
      <c r="W47" s="2"/>
      <c r="X47" s="2">
        <f t="shared" si="2"/>
        <v>3703.37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"4242", " - ", "SALES RETURN TAXABLE-EVERYDAY")</f>
        <v xml:space="preserve">          4242 - SALES RETURN TAXABLE-EVERYDAY</v>
      </c>
      <c r="C48" s="11"/>
      <c r="D48" s="2">
        <f t="shared" si="11"/>
        <v>0</v>
      </c>
      <c r="E48" s="2"/>
      <c r="F48" s="19"/>
      <c r="G48" s="2"/>
      <c r="H48" s="2">
        <f>-76.86</f>
        <v>-76.86</v>
      </c>
      <c r="I48" s="2"/>
      <c r="J48" s="19"/>
      <c r="K48" s="2"/>
      <c r="L48" s="2">
        <f t="shared" si="0"/>
        <v>76.86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-1693.78</f>
        <v>-1693.78</v>
      </c>
      <c r="U48" s="2"/>
      <c r="V48" s="19"/>
      <c r="W48" s="2"/>
      <c r="X48" s="2">
        <f t="shared" si="2"/>
        <v>1693.78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"4243", " - ", "SALES RETURN TAXABLE-CARDS")</f>
        <v xml:space="preserve">          4243 - SALES RETURN TAXABLE-CARDS</v>
      </c>
      <c r="C49" s="11"/>
      <c r="D49" s="2">
        <f t="shared" si="11"/>
        <v>0</v>
      </c>
      <c r="E49" s="2"/>
      <c r="F49" s="19"/>
      <c r="G49" s="2"/>
      <c r="H49" s="2">
        <f>-1422.25</f>
        <v>-1422.25</v>
      </c>
      <c r="I49" s="2"/>
      <c r="J49" s="19"/>
      <c r="K49" s="2"/>
      <c r="L49" s="2">
        <f t="shared" si="0"/>
        <v>1422.25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-4999.79</f>
        <v>-4999.79</v>
      </c>
      <c r="U49" s="2"/>
      <c r="V49" s="19"/>
      <c r="W49" s="2"/>
      <c r="X49" s="2">
        <f t="shared" si="2"/>
        <v>4999.79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"4244", " - ", "SALES RETURN TAXABLE-ACCESSORI")</f>
        <v xml:space="preserve">          4244 - SALES RETURN TAXABLE-ACCESSORI</v>
      </c>
      <c r="C50" s="11"/>
      <c r="D50" s="2">
        <f t="shared" si="11"/>
        <v>0</v>
      </c>
      <c r="E50" s="2"/>
      <c r="F50" s="19"/>
      <c r="G50" s="2"/>
      <c r="H50" s="2">
        <f>-93.98</f>
        <v>-93.98</v>
      </c>
      <c r="I50" s="2"/>
      <c r="J50" s="19"/>
      <c r="K50" s="2"/>
      <c r="L50" s="2">
        <f t="shared" si="0"/>
        <v>93.98</v>
      </c>
      <c r="M50" s="2"/>
      <c r="N50" s="19">
        <f t="shared" si="1"/>
        <v>-1</v>
      </c>
      <c r="O50" s="11"/>
      <c r="P50" s="2">
        <f t="shared" si="12"/>
        <v>0</v>
      </c>
      <c r="Q50" s="2"/>
      <c r="R50" s="19"/>
      <c r="S50" s="2"/>
      <c r="T50" s="2">
        <f>-984.85</f>
        <v>-984.85</v>
      </c>
      <c r="U50" s="2"/>
      <c r="V50" s="19"/>
      <c r="W50" s="2"/>
      <c r="X50" s="2">
        <f t="shared" si="2"/>
        <v>984.85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"4245", " - ", "SALES RETURN TAXABLE-SPECIAL O")</f>
        <v xml:space="preserve">          4245 - SALES RETURN TAXABLE-SPECIAL O</v>
      </c>
      <c r="C51" s="11"/>
      <c r="D51" s="2">
        <f t="shared" si="11"/>
        <v>0</v>
      </c>
      <c r="E51" s="2"/>
      <c r="F51" s="19"/>
      <c r="G51" s="2"/>
      <c r="H51" s="2">
        <f t="shared" ref="H51:H52" si="13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12"/>
        <v>0</v>
      </c>
      <c r="Q51" s="2"/>
      <c r="R51" s="19"/>
      <c r="S51" s="2"/>
      <c r="T51" s="2">
        <f>-11345.61</f>
        <v>-11345.61</v>
      </c>
      <c r="U51" s="2"/>
      <c r="V51" s="19"/>
      <c r="W51" s="2"/>
      <c r="X51" s="2">
        <f t="shared" si="2"/>
        <v>11345.61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"4300", " - ", "NON-TAX RETURNS")</f>
        <v xml:space="preserve">          4300 - NON-TAX RETURNS</v>
      </c>
      <c r="C52" s="11"/>
      <c r="D52" s="2">
        <f>-376.59</f>
        <v>-376.59</v>
      </c>
      <c r="E52" s="2"/>
      <c r="F52" s="19"/>
      <c r="G52" s="2"/>
      <c r="H52" s="2">
        <f t="shared" si="13"/>
        <v>0</v>
      </c>
      <c r="I52" s="2"/>
      <c r="J52" s="19"/>
      <c r="K52" s="2"/>
      <c r="L52" s="2">
        <f t="shared" si="0"/>
        <v>-376.59</v>
      </c>
      <c r="M52" s="2"/>
      <c r="N52" s="19">
        <f t="shared" si="1"/>
        <v>0</v>
      </c>
      <c r="O52" s="11"/>
      <c r="P52" s="2">
        <f>-1652.79</f>
        <v>-1652.79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-1652.79</v>
      </c>
      <c r="Y52" s="2"/>
      <c r="Z52" s="19">
        <f t="shared" si="3"/>
        <v>0</v>
      </c>
    </row>
    <row r="53" spans="1:26" s="24" customFormat="1" hidden="1" outlineLevel="1" x14ac:dyDescent="0.3">
      <c r="A53" s="44"/>
      <c r="B53" s="11" t="str">
        <f>CONCATENATE("          ", "4340", " - ", "SALES RETURN NON TAXABLE-LOGO")</f>
        <v xml:space="preserve">          4340 - SALES RETURN NON TAXABLE-LOGO</v>
      </c>
      <c r="C53" s="11"/>
      <c r="D53" s="2">
        <f t="shared" ref="D53:D55" si="14">0</f>
        <v>0</v>
      </c>
      <c r="E53" s="2"/>
      <c r="F53" s="19"/>
      <c r="G53" s="2"/>
      <c r="H53" s="2">
        <f>-732.22</f>
        <v>-732.22</v>
      </c>
      <c r="I53" s="2"/>
      <c r="J53" s="19"/>
      <c r="K53" s="2"/>
      <c r="L53" s="2">
        <f t="shared" si="0"/>
        <v>732.22</v>
      </c>
      <c r="M53" s="2"/>
      <c r="N53" s="19">
        <f t="shared" si="1"/>
        <v>-1</v>
      </c>
      <c r="O53" s="11"/>
      <c r="P53" s="2">
        <f t="shared" ref="P53:P55" si="15">0</f>
        <v>0</v>
      </c>
      <c r="Q53" s="2"/>
      <c r="R53" s="19"/>
      <c r="S53" s="2"/>
      <c r="T53" s="2">
        <f>-2215.94</f>
        <v>-2215.94</v>
      </c>
      <c r="U53" s="2"/>
      <c r="V53" s="19"/>
      <c r="W53" s="2"/>
      <c r="X53" s="2">
        <f t="shared" si="2"/>
        <v>2215.94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"4341", " - ", "SALES RETURN NON TAXABLE-LOGO")</f>
        <v xml:space="preserve">          4341 - SALES RETURN NON TAXABLE-LOGO</v>
      </c>
      <c r="C54" s="11"/>
      <c r="D54" s="2">
        <f t="shared" si="14"/>
        <v>0</v>
      </c>
      <c r="E54" s="2"/>
      <c r="F54" s="19"/>
      <c r="G54" s="2"/>
      <c r="H54" s="2">
        <f>-15.8</f>
        <v>-15.8</v>
      </c>
      <c r="I54" s="2"/>
      <c r="J54" s="19"/>
      <c r="K54" s="2"/>
      <c r="L54" s="2">
        <f t="shared" si="0"/>
        <v>15.8</v>
      </c>
      <c r="M54" s="2"/>
      <c r="N54" s="19">
        <f t="shared" si="1"/>
        <v>-1</v>
      </c>
      <c r="O54" s="11"/>
      <c r="P54" s="2">
        <f t="shared" si="15"/>
        <v>0</v>
      </c>
      <c r="Q54" s="2"/>
      <c r="R54" s="19"/>
      <c r="S54" s="2"/>
      <c r="T54" s="2">
        <f>-351.44</f>
        <v>-351.44</v>
      </c>
      <c r="U54" s="2"/>
      <c r="V54" s="19"/>
      <c r="W54" s="2"/>
      <c r="X54" s="2">
        <f t="shared" si="2"/>
        <v>351.44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"4342", " - ", "SALES RETURN NON TAXABLE-EVERY")</f>
        <v xml:space="preserve">          4342 - SALES RETURN NON TAXABLE-EVERY</v>
      </c>
      <c r="C55" s="11"/>
      <c r="D55" s="2">
        <f t="shared" si="14"/>
        <v>0</v>
      </c>
      <c r="E55" s="2"/>
      <c r="F55" s="19"/>
      <c r="G55" s="2"/>
      <c r="H55" s="2">
        <f t="shared" ref="H55:H56" si="16"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5"/>
        <v>0</v>
      </c>
      <c r="Q55" s="2"/>
      <c r="R55" s="19"/>
      <c r="S55" s="2"/>
      <c r="T55" s="2">
        <f>-118.7</f>
        <v>-118.7</v>
      </c>
      <c r="U55" s="2"/>
      <c r="V55" s="19"/>
      <c r="W55" s="2"/>
      <c r="X55" s="2">
        <f t="shared" si="2"/>
        <v>118.7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"4500", " - ", "SALES DISCOUNT")</f>
        <v xml:space="preserve">          4500 - SALES DISCOUNT</v>
      </c>
      <c r="C56" s="11"/>
      <c r="D56" s="2">
        <f>-4596.68</f>
        <v>-4596.68</v>
      </c>
      <c r="E56" s="2"/>
      <c r="F56" s="19"/>
      <c r="G56" s="2"/>
      <c r="H56" s="2">
        <f t="shared" si="16"/>
        <v>0</v>
      </c>
      <c r="I56" s="2"/>
      <c r="J56" s="19"/>
      <c r="K56" s="2"/>
      <c r="L56" s="2">
        <f t="shared" si="0"/>
        <v>-4596.68</v>
      </c>
      <c r="M56" s="2"/>
      <c r="N56" s="19">
        <f t="shared" si="1"/>
        <v>0</v>
      </c>
      <c r="O56" s="11"/>
      <c r="P56" s="2">
        <f>-67367.26</f>
        <v>-67367.259999999995</v>
      </c>
      <c r="Q56" s="2"/>
      <c r="R56" s="19"/>
      <c r="S56" s="2"/>
      <c r="T56" s="2">
        <f>0</f>
        <v>0</v>
      </c>
      <c r="U56" s="2"/>
      <c r="V56" s="19"/>
      <c r="W56" s="2"/>
      <c r="X56" s="2">
        <f t="shared" si="2"/>
        <v>-67367.259999999995</v>
      </c>
      <c r="Y56" s="2"/>
      <c r="Z56" s="19">
        <f t="shared" si="3"/>
        <v>0</v>
      </c>
    </row>
    <row r="57" spans="1:26" x14ac:dyDescent="0.3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collapsed="1" x14ac:dyDescent="0.3">
      <c r="A58" s="10"/>
      <c r="B58" s="26" t="s">
        <v>256</v>
      </c>
      <c r="C58" s="10"/>
      <c r="D58" s="4">
        <f>SUM(OSRRefD16x_0)</f>
        <v>86084.11</v>
      </c>
      <c r="E58" s="4"/>
      <c r="F58" s="12">
        <f t="shared" ref="F58:F83" si="17">IF(D$12=0,0,D58/D$12)</f>
        <v>0.47318882267908602</v>
      </c>
      <c r="G58" s="4"/>
      <c r="H58" s="4">
        <f>SUM(OSRRefH16x_0)</f>
        <v>84721.51999999999</v>
      </c>
      <c r="I58" s="4"/>
      <c r="J58" s="12">
        <f t="shared" ref="J58:J83" si="18">IF(H$12=0,0,H58/H$12)</f>
        <v>0.52854365254293412</v>
      </c>
      <c r="K58" s="4"/>
      <c r="L58" s="4">
        <f t="shared" ref="L58:L83" si="19">+D58-H58</f>
        <v>1362.5900000000111</v>
      </c>
      <c r="M58" s="4"/>
      <c r="N58" s="12">
        <f t="shared" ref="N58:N83" si="20">IF(H58=0,0,L58/H58)</f>
        <v>1.6083162813887324E-2</v>
      </c>
      <c r="O58" s="10"/>
      <c r="P58" s="4">
        <f>SUM(OSRRefP16x_0)</f>
        <v>1157126.5</v>
      </c>
      <c r="Q58" s="4"/>
      <c r="R58" s="12">
        <f t="shared" ref="R58:R83" si="21">IF(P$12=0,0,P58/P$12)</f>
        <v>0.49355248859558792</v>
      </c>
      <c r="S58" s="4"/>
      <c r="T58" s="4">
        <f>SUM(OSRRefT16x_0)</f>
        <v>696640.80000000016</v>
      </c>
      <c r="U58" s="4"/>
      <c r="V58" s="12">
        <f t="shared" ref="V58:V83" si="22">IF(T$12=0,0,T58/T$12)</f>
        <v>0.57472693510078632</v>
      </c>
      <c r="W58" s="4"/>
      <c r="X58" s="4">
        <f t="shared" ref="X58:X83" si="23">+P58-T58</f>
        <v>460485.69999999984</v>
      </c>
      <c r="Y58" s="4"/>
      <c r="Z58" s="12">
        <f t="shared" ref="Z58:Z83" si="24">IF(T58=0,0,X58/T58)</f>
        <v>0.66100880109232729</v>
      </c>
    </row>
    <row r="59" spans="1:26" s="24" customFormat="1" hidden="1" outlineLevel="1" x14ac:dyDescent="0.3">
      <c r="A59" s="44"/>
      <c r="B59" s="11" t="str">
        <f>CONCATENATE("          ", "5000", " - ", "PURCHASES @ COST")</f>
        <v xml:space="preserve">          5000 - PURCHASES @ COST</v>
      </c>
      <c r="C59" s="11"/>
      <c r="D59" s="2">
        <v>190632.23</v>
      </c>
      <c r="E59" s="2"/>
      <c r="F59" s="19">
        <f t="shared" si="17"/>
        <v>1.0478709773312258</v>
      </c>
      <c r="G59" s="2"/>
      <c r="H59" s="2"/>
      <c r="I59" s="2"/>
      <c r="J59" s="19">
        <f t="shared" si="18"/>
        <v>0</v>
      </c>
      <c r="K59" s="2"/>
      <c r="L59" s="2">
        <f t="shared" si="19"/>
        <v>190632.23</v>
      </c>
      <c r="M59" s="2"/>
      <c r="N59" s="19">
        <f t="shared" si="20"/>
        <v>0</v>
      </c>
      <c r="O59" s="11"/>
      <c r="P59" s="2">
        <v>1318115.6000000001</v>
      </c>
      <c r="Q59" s="2"/>
      <c r="R59" s="19">
        <f t="shared" si="21"/>
        <v>0.56221963167956712</v>
      </c>
      <c r="S59" s="2"/>
      <c r="T59" s="2"/>
      <c r="U59" s="2"/>
      <c r="V59" s="19">
        <f t="shared" si="22"/>
        <v>0</v>
      </c>
      <c r="W59" s="2"/>
      <c r="X59" s="2">
        <f t="shared" si="23"/>
        <v>1318115.6000000001</v>
      </c>
      <c r="Y59" s="2"/>
      <c r="Z59" s="19">
        <f t="shared" si="24"/>
        <v>0</v>
      </c>
    </row>
    <row r="60" spans="1:26" s="24" customFormat="1" hidden="1" outlineLevel="1" x14ac:dyDescent="0.3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17"/>
        <v>0</v>
      </c>
      <c r="G60" s="2"/>
      <c r="H60" s="2"/>
      <c r="I60" s="2"/>
      <c r="J60" s="19">
        <f t="shared" si="18"/>
        <v>0</v>
      </c>
      <c r="K60" s="2"/>
      <c r="L60" s="2">
        <f t="shared" si="19"/>
        <v>0</v>
      </c>
      <c r="M60" s="2"/>
      <c r="N60" s="19">
        <f t="shared" si="20"/>
        <v>0</v>
      </c>
      <c r="O60" s="11"/>
      <c r="P60" s="2"/>
      <c r="Q60" s="2"/>
      <c r="R60" s="19">
        <f t="shared" si="21"/>
        <v>0</v>
      </c>
      <c r="S60" s="2"/>
      <c r="T60" s="2">
        <v>599.29</v>
      </c>
      <c r="U60" s="2"/>
      <c r="V60" s="19">
        <f t="shared" si="22"/>
        <v>4.9441276614368577E-4</v>
      </c>
      <c r="W60" s="2"/>
      <c r="X60" s="2">
        <f t="shared" si="23"/>
        <v>-599.29</v>
      </c>
      <c r="Y60" s="2"/>
      <c r="Z60" s="19">
        <f t="shared" si="24"/>
        <v>-1</v>
      </c>
    </row>
    <row r="61" spans="1:26" s="24" customFormat="1" hidden="1" outlineLevel="1" x14ac:dyDescent="0.3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/>
      <c r="E61" s="2"/>
      <c r="F61" s="19">
        <f t="shared" si="17"/>
        <v>0</v>
      </c>
      <c r="G61" s="2"/>
      <c r="H61" s="2"/>
      <c r="I61" s="2"/>
      <c r="J61" s="19">
        <f t="shared" si="18"/>
        <v>0</v>
      </c>
      <c r="K61" s="2"/>
      <c r="L61" s="2">
        <f t="shared" si="19"/>
        <v>0</v>
      </c>
      <c r="M61" s="2"/>
      <c r="N61" s="19">
        <f t="shared" si="20"/>
        <v>0</v>
      </c>
      <c r="O61" s="11"/>
      <c r="P61" s="2">
        <v>0</v>
      </c>
      <c r="Q61" s="2"/>
      <c r="R61" s="19">
        <f t="shared" si="21"/>
        <v>0</v>
      </c>
      <c r="S61" s="2"/>
      <c r="T61" s="2">
        <v>374.91</v>
      </c>
      <c r="U61" s="2"/>
      <c r="V61" s="19">
        <f t="shared" si="22"/>
        <v>3.0929982171391021E-4</v>
      </c>
      <c r="W61" s="2"/>
      <c r="X61" s="2">
        <f t="shared" si="23"/>
        <v>-374.91</v>
      </c>
      <c r="Y61" s="2"/>
      <c r="Z61" s="19">
        <f t="shared" si="24"/>
        <v>-1</v>
      </c>
    </row>
    <row r="62" spans="1:26" s="24" customFormat="1" hidden="1" outlineLevel="1" x14ac:dyDescent="0.3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/>
      <c r="E62" s="2"/>
      <c r="F62" s="19">
        <f t="shared" si="17"/>
        <v>0</v>
      </c>
      <c r="G62" s="2"/>
      <c r="H62" s="2"/>
      <c r="I62" s="2"/>
      <c r="J62" s="19">
        <f t="shared" si="18"/>
        <v>0</v>
      </c>
      <c r="K62" s="2"/>
      <c r="L62" s="2">
        <f t="shared" si="19"/>
        <v>0</v>
      </c>
      <c r="M62" s="2"/>
      <c r="N62" s="19">
        <f t="shared" si="20"/>
        <v>0</v>
      </c>
      <c r="O62" s="11"/>
      <c r="P62" s="2">
        <v>0</v>
      </c>
      <c r="Q62" s="2"/>
      <c r="R62" s="19">
        <f t="shared" si="21"/>
        <v>0</v>
      </c>
      <c r="S62" s="2"/>
      <c r="T62" s="2">
        <v>19071.349999999999</v>
      </c>
      <c r="U62" s="2"/>
      <c r="V62" s="19">
        <f t="shared" si="22"/>
        <v>1.5733816528883147E-2</v>
      </c>
      <c r="W62" s="2"/>
      <c r="X62" s="2">
        <f t="shared" si="23"/>
        <v>-19071.349999999999</v>
      </c>
      <c r="Y62" s="2"/>
      <c r="Z62" s="19">
        <f t="shared" si="24"/>
        <v>-1</v>
      </c>
    </row>
    <row r="63" spans="1:26" s="24" customFormat="1" hidden="1" outlineLevel="1" x14ac:dyDescent="0.3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/>
      <c r="E63" s="2"/>
      <c r="F63" s="19">
        <f t="shared" si="17"/>
        <v>0</v>
      </c>
      <c r="G63" s="2"/>
      <c r="H63" s="2"/>
      <c r="I63" s="2"/>
      <c r="J63" s="19">
        <f t="shared" si="18"/>
        <v>0</v>
      </c>
      <c r="K63" s="2"/>
      <c r="L63" s="2">
        <f t="shared" si="19"/>
        <v>0</v>
      </c>
      <c r="M63" s="2"/>
      <c r="N63" s="19">
        <f t="shared" si="20"/>
        <v>0</v>
      </c>
      <c r="O63" s="11"/>
      <c r="P63" s="2">
        <v>0</v>
      </c>
      <c r="Q63" s="2"/>
      <c r="R63" s="19">
        <f t="shared" si="21"/>
        <v>0</v>
      </c>
      <c r="S63" s="2"/>
      <c r="T63" s="2">
        <v>41358.449999999997</v>
      </c>
      <c r="U63" s="2"/>
      <c r="V63" s="19">
        <f t="shared" si="22"/>
        <v>3.4120618845492695E-2</v>
      </c>
      <c r="W63" s="2"/>
      <c r="X63" s="2">
        <f t="shared" si="23"/>
        <v>-41358.449999999997</v>
      </c>
      <c r="Y63" s="2"/>
      <c r="Z63" s="19">
        <f t="shared" si="24"/>
        <v>-1</v>
      </c>
    </row>
    <row r="64" spans="1:26" s="24" customFormat="1" hidden="1" outlineLevel="1" x14ac:dyDescent="0.3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17"/>
        <v>0</v>
      </c>
      <c r="G64" s="2"/>
      <c r="H64" s="2">
        <v>239.16</v>
      </c>
      <c r="I64" s="2"/>
      <c r="J64" s="19">
        <f t="shared" si="18"/>
        <v>1.492023513531959E-3</v>
      </c>
      <c r="K64" s="2"/>
      <c r="L64" s="2">
        <f t="shared" si="19"/>
        <v>-239.16</v>
      </c>
      <c r="M64" s="2"/>
      <c r="N64" s="19">
        <f t="shared" si="20"/>
        <v>-1</v>
      </c>
      <c r="O64" s="11"/>
      <c r="P64" s="2">
        <v>0</v>
      </c>
      <c r="Q64" s="2"/>
      <c r="R64" s="19">
        <f t="shared" si="21"/>
        <v>0</v>
      </c>
      <c r="S64" s="2"/>
      <c r="T64" s="2">
        <v>7514.26</v>
      </c>
      <c r="U64" s="2"/>
      <c r="V64" s="19">
        <f t="shared" si="22"/>
        <v>6.1992458945132611E-3</v>
      </c>
      <c r="W64" s="2"/>
      <c r="X64" s="2">
        <f t="shared" si="23"/>
        <v>-7514.26</v>
      </c>
      <c r="Y64" s="2"/>
      <c r="Z64" s="19">
        <f t="shared" si="24"/>
        <v>-1</v>
      </c>
    </row>
    <row r="65" spans="1:26" s="24" customFormat="1" hidden="1" outlineLevel="1" x14ac:dyDescent="0.3">
      <c r="A65" s="44"/>
      <c r="B65" s="11" t="str">
        <f>CONCATENATE("          ", "5040", " - ", "PURCHASES @ COST-LOGO CLOTHING")</f>
        <v xml:space="preserve">          5040 - PURCHASES @ COST-LOGO CLOTHING</v>
      </c>
      <c r="C65" s="11"/>
      <c r="D65" s="2"/>
      <c r="E65" s="2"/>
      <c r="F65" s="19">
        <f t="shared" si="17"/>
        <v>0</v>
      </c>
      <c r="G65" s="2"/>
      <c r="H65" s="2">
        <v>34900.79</v>
      </c>
      <c r="I65" s="2"/>
      <c r="J65" s="19">
        <f t="shared" si="18"/>
        <v>0.21773205937799406</v>
      </c>
      <c r="K65" s="2"/>
      <c r="L65" s="2">
        <f t="shared" si="19"/>
        <v>-34900.79</v>
      </c>
      <c r="M65" s="2"/>
      <c r="N65" s="19">
        <f t="shared" si="20"/>
        <v>-1</v>
      </c>
      <c r="O65" s="11"/>
      <c r="P65" s="2">
        <v>0</v>
      </c>
      <c r="Q65" s="2"/>
      <c r="R65" s="19">
        <f t="shared" si="21"/>
        <v>0</v>
      </c>
      <c r="S65" s="2"/>
      <c r="T65" s="2">
        <v>167371.19</v>
      </c>
      <c r="U65" s="2"/>
      <c r="V65" s="19">
        <f t="shared" si="22"/>
        <v>0.13808081733494701</v>
      </c>
      <c r="W65" s="2"/>
      <c r="X65" s="2">
        <f t="shared" si="23"/>
        <v>-167371.19</v>
      </c>
      <c r="Y65" s="2"/>
      <c r="Z65" s="19">
        <f t="shared" si="24"/>
        <v>-1</v>
      </c>
    </row>
    <row r="66" spans="1:26" s="24" customFormat="1" hidden="1" outlineLevel="1" x14ac:dyDescent="0.3">
      <c r="A66" s="44"/>
      <c r="B66" s="11" t="str">
        <f>CONCATENATE("          ", "5041", " - ", "PURCHASES @ COST-LOGO GIFTS")</f>
        <v xml:space="preserve">          5041 - PURCHASES @ COST-LOGO GIFTS</v>
      </c>
      <c r="C66" s="11"/>
      <c r="D66" s="2"/>
      <c r="E66" s="2"/>
      <c r="F66" s="19">
        <f t="shared" si="17"/>
        <v>0</v>
      </c>
      <c r="G66" s="2"/>
      <c r="H66" s="2">
        <v>8769.24</v>
      </c>
      <c r="I66" s="2"/>
      <c r="J66" s="19">
        <f t="shared" si="18"/>
        <v>5.4707778373494713E-2</v>
      </c>
      <c r="K66" s="2"/>
      <c r="L66" s="2">
        <f t="shared" si="19"/>
        <v>-8769.24</v>
      </c>
      <c r="M66" s="2"/>
      <c r="N66" s="19">
        <f t="shared" si="20"/>
        <v>-1</v>
      </c>
      <c r="O66" s="11"/>
      <c r="P66" s="2">
        <v>0</v>
      </c>
      <c r="Q66" s="2"/>
      <c r="R66" s="19">
        <f t="shared" si="21"/>
        <v>0</v>
      </c>
      <c r="S66" s="2"/>
      <c r="T66" s="2">
        <v>40971</v>
      </c>
      <c r="U66" s="2"/>
      <c r="V66" s="19">
        <f t="shared" si="22"/>
        <v>3.3800973554828126E-2</v>
      </c>
      <c r="W66" s="2"/>
      <c r="X66" s="2">
        <f t="shared" si="23"/>
        <v>-40971</v>
      </c>
      <c r="Y66" s="2"/>
      <c r="Z66" s="19">
        <f t="shared" si="24"/>
        <v>-1</v>
      </c>
    </row>
    <row r="67" spans="1:26" s="24" customFormat="1" hidden="1" outlineLevel="1" x14ac:dyDescent="0.3">
      <c r="A67" s="44"/>
      <c r="B67" s="11" t="str">
        <f>CONCATENATE("          ", "5042", " - ", "PURCHASES @ COST-EVERYDAY GIFT")</f>
        <v xml:space="preserve">          5042 - PURCHASES @ COST-EVERYDAY GIFT</v>
      </c>
      <c r="C67" s="11"/>
      <c r="D67" s="2"/>
      <c r="E67" s="2"/>
      <c r="F67" s="19">
        <f t="shared" si="17"/>
        <v>0</v>
      </c>
      <c r="G67" s="2"/>
      <c r="H67" s="2">
        <v>6760.7</v>
      </c>
      <c r="I67" s="2"/>
      <c r="J67" s="19">
        <f t="shared" si="18"/>
        <v>4.2177301254120732E-2</v>
      </c>
      <c r="K67" s="2"/>
      <c r="L67" s="2">
        <f t="shared" si="19"/>
        <v>-6760.7</v>
      </c>
      <c r="M67" s="2"/>
      <c r="N67" s="19">
        <f t="shared" si="20"/>
        <v>-1</v>
      </c>
      <c r="O67" s="11"/>
      <c r="P67" s="2">
        <v>0</v>
      </c>
      <c r="Q67" s="2"/>
      <c r="R67" s="19">
        <f t="shared" si="21"/>
        <v>0</v>
      </c>
      <c r="S67" s="2"/>
      <c r="T67" s="2">
        <v>17821.98</v>
      </c>
      <c r="U67" s="2"/>
      <c r="V67" s="19">
        <f t="shared" si="22"/>
        <v>1.4703089372353026E-2</v>
      </c>
      <c r="W67" s="2"/>
      <c r="X67" s="2">
        <f t="shared" si="23"/>
        <v>-17821.98</v>
      </c>
      <c r="Y67" s="2"/>
      <c r="Z67" s="19">
        <f t="shared" si="24"/>
        <v>-1</v>
      </c>
    </row>
    <row r="68" spans="1:26" s="24" customFormat="1" hidden="1" outlineLevel="1" x14ac:dyDescent="0.3">
      <c r="A68" s="44"/>
      <c r="B68" s="11" t="str">
        <f>CONCATENATE("          ", "5043", " - ", "PURCHASES @ COST-CARDS")</f>
        <v xml:space="preserve">          5043 - PURCHASES @ COST-CARDS</v>
      </c>
      <c r="C68" s="11"/>
      <c r="D68" s="2"/>
      <c r="E68" s="2"/>
      <c r="F68" s="19">
        <f t="shared" si="17"/>
        <v>0</v>
      </c>
      <c r="G68" s="2"/>
      <c r="H68" s="2">
        <v>8743.1</v>
      </c>
      <c r="I68" s="2"/>
      <c r="J68" s="19">
        <f t="shared" si="18"/>
        <v>5.4544701376322426E-2</v>
      </c>
      <c r="K68" s="2"/>
      <c r="L68" s="2">
        <f t="shared" si="19"/>
        <v>-8743.1</v>
      </c>
      <c r="M68" s="2"/>
      <c r="N68" s="19">
        <f t="shared" si="20"/>
        <v>-1</v>
      </c>
      <c r="O68" s="11"/>
      <c r="P68" s="2">
        <v>0</v>
      </c>
      <c r="Q68" s="2"/>
      <c r="R68" s="19">
        <f t="shared" si="21"/>
        <v>0</v>
      </c>
      <c r="S68" s="2"/>
      <c r="T68" s="2">
        <v>55364.33</v>
      </c>
      <c r="U68" s="2"/>
      <c r="V68" s="19">
        <f t="shared" si="22"/>
        <v>4.567543516660022E-2</v>
      </c>
      <c r="W68" s="2"/>
      <c r="X68" s="2">
        <f t="shared" si="23"/>
        <v>-55364.33</v>
      </c>
      <c r="Y68" s="2"/>
      <c r="Z68" s="19">
        <f t="shared" si="24"/>
        <v>-1</v>
      </c>
    </row>
    <row r="69" spans="1:26" s="24" customFormat="1" hidden="1" outlineLevel="1" x14ac:dyDescent="0.3">
      <c r="A69" s="44"/>
      <c r="B69" s="11" t="str">
        <f>CONCATENATE("          ", "5044", " - ", "PURCHASES @ COST-ACCESSORIES")</f>
        <v xml:space="preserve">          5044 - PURCHASES @ COST-ACCESSORIES</v>
      </c>
      <c r="C69" s="11"/>
      <c r="D69" s="2"/>
      <c r="E69" s="2"/>
      <c r="F69" s="19">
        <f t="shared" si="17"/>
        <v>0</v>
      </c>
      <c r="G69" s="2"/>
      <c r="H69" s="2">
        <v>782.5</v>
      </c>
      <c r="I69" s="2"/>
      <c r="J69" s="19">
        <f t="shared" si="18"/>
        <v>4.8817042956128031E-3</v>
      </c>
      <c r="K69" s="2"/>
      <c r="L69" s="2">
        <f t="shared" si="19"/>
        <v>-782.5</v>
      </c>
      <c r="M69" s="2"/>
      <c r="N69" s="19">
        <f t="shared" si="20"/>
        <v>-1</v>
      </c>
      <c r="O69" s="11"/>
      <c r="P69" s="2">
        <v>0</v>
      </c>
      <c r="Q69" s="2"/>
      <c r="R69" s="19">
        <f t="shared" si="21"/>
        <v>0</v>
      </c>
      <c r="S69" s="2"/>
      <c r="T69" s="2">
        <v>1064.83</v>
      </c>
      <c r="U69" s="2"/>
      <c r="V69" s="19">
        <f t="shared" si="22"/>
        <v>8.7848211345555721E-4</v>
      </c>
      <c r="W69" s="2"/>
      <c r="X69" s="2">
        <f t="shared" si="23"/>
        <v>-1064.83</v>
      </c>
      <c r="Y69" s="2"/>
      <c r="Z69" s="19">
        <f t="shared" si="24"/>
        <v>-1</v>
      </c>
    </row>
    <row r="70" spans="1:26" s="24" customFormat="1" hidden="1" outlineLevel="1" x14ac:dyDescent="0.3">
      <c r="A70" s="44"/>
      <c r="B70" s="11" t="str">
        <f>CONCATENATE("          ", "5045", " - ", "PURCHASES @ COST-SPECIAL ORDER")</f>
        <v xml:space="preserve">          5045 - PURCHASES @ COST-SPECIAL ORDER</v>
      </c>
      <c r="C70" s="11"/>
      <c r="D70" s="2"/>
      <c r="E70" s="2"/>
      <c r="F70" s="19">
        <f t="shared" si="17"/>
        <v>0</v>
      </c>
      <c r="G70" s="2"/>
      <c r="H70" s="2">
        <v>5855.38</v>
      </c>
      <c r="I70" s="2"/>
      <c r="J70" s="19">
        <f t="shared" si="18"/>
        <v>3.6529372138588236E-2</v>
      </c>
      <c r="K70" s="2"/>
      <c r="L70" s="2">
        <f t="shared" si="19"/>
        <v>-5855.38</v>
      </c>
      <c r="M70" s="2"/>
      <c r="N70" s="19">
        <f t="shared" si="20"/>
        <v>-1</v>
      </c>
      <c r="O70" s="11"/>
      <c r="P70" s="2">
        <v>0</v>
      </c>
      <c r="Q70" s="2"/>
      <c r="R70" s="19">
        <f t="shared" si="21"/>
        <v>0</v>
      </c>
      <c r="S70" s="2"/>
      <c r="T70" s="2">
        <v>93464.38</v>
      </c>
      <c r="U70" s="2"/>
      <c r="V70" s="19">
        <f t="shared" si="22"/>
        <v>7.7107882079968937E-2</v>
      </c>
      <c r="W70" s="2"/>
      <c r="X70" s="2">
        <f t="shared" si="23"/>
        <v>-93464.38</v>
      </c>
      <c r="Y70" s="2"/>
      <c r="Z70" s="19">
        <f t="shared" si="24"/>
        <v>-1</v>
      </c>
    </row>
    <row r="71" spans="1:26" s="24" customFormat="1" hidden="1" outlineLevel="1" x14ac:dyDescent="0.3">
      <c r="A71" s="44"/>
      <c r="B71" s="11" t="str">
        <f>CONCATENATE("          ", "5200", " - ", "PURCHASES OFFSET")</f>
        <v xml:space="preserve">          5200 - PURCHASES OFFSET</v>
      </c>
      <c r="C71" s="11"/>
      <c r="D71" s="2">
        <v>-201208.82</v>
      </c>
      <c r="E71" s="2"/>
      <c r="F71" s="19">
        <f t="shared" si="17"/>
        <v>-1.106008584493098</v>
      </c>
      <c r="G71" s="2"/>
      <c r="H71" s="2">
        <v>-68791.67</v>
      </c>
      <c r="I71" s="2"/>
      <c r="J71" s="19">
        <f t="shared" si="18"/>
        <v>-0.42916369449377428</v>
      </c>
      <c r="K71" s="2"/>
      <c r="L71" s="2">
        <f t="shared" si="19"/>
        <v>-132417.15000000002</v>
      </c>
      <c r="M71" s="2"/>
      <c r="N71" s="19">
        <f t="shared" si="20"/>
        <v>1.9249009364069811</v>
      </c>
      <c r="O71" s="11"/>
      <c r="P71" s="2">
        <v>-1361624.55</v>
      </c>
      <c r="Q71" s="2"/>
      <c r="R71" s="19">
        <f t="shared" si="21"/>
        <v>-0.58077762905382213</v>
      </c>
      <c r="S71" s="2"/>
      <c r="T71" s="2">
        <v>-463140.3</v>
      </c>
      <c r="U71" s="2"/>
      <c r="V71" s="19">
        <f t="shared" si="22"/>
        <v>-0.38208960075358583</v>
      </c>
      <c r="W71" s="2"/>
      <c r="X71" s="2">
        <f t="shared" si="23"/>
        <v>-898484.25</v>
      </c>
      <c r="Y71" s="2"/>
      <c r="Z71" s="19">
        <f t="shared" si="24"/>
        <v>1.9399828734402944</v>
      </c>
    </row>
    <row r="72" spans="1:26" s="24" customFormat="1" hidden="1" outlineLevel="1" x14ac:dyDescent="0.3">
      <c r="A72" s="44"/>
      <c r="B72" s="11" t="str">
        <f>CONCATENATE("          ", "5300", " - ", "COG$ OFFSET")</f>
        <v xml:space="preserve">          5300 - COG$ OFFSET</v>
      </c>
      <c r="C72" s="11"/>
      <c r="D72" s="2">
        <v>86084.11</v>
      </c>
      <c r="E72" s="2"/>
      <c r="F72" s="19">
        <f t="shared" si="17"/>
        <v>0.47318882267908602</v>
      </c>
      <c r="G72" s="2"/>
      <c r="H72" s="2">
        <v>84703</v>
      </c>
      <c r="I72" s="2"/>
      <c r="J72" s="19">
        <f t="shared" si="18"/>
        <v>0.52842811367577158</v>
      </c>
      <c r="K72" s="2"/>
      <c r="L72" s="2">
        <f t="shared" si="19"/>
        <v>1381.1100000000006</v>
      </c>
      <c r="M72" s="2"/>
      <c r="N72" s="19">
        <f t="shared" si="20"/>
        <v>1.6305325667331741E-2</v>
      </c>
      <c r="O72" s="11"/>
      <c r="P72" s="2">
        <v>1157126.5</v>
      </c>
      <c r="Q72" s="2"/>
      <c r="R72" s="19">
        <f t="shared" si="21"/>
        <v>0.49355248859558792</v>
      </c>
      <c r="S72" s="2"/>
      <c r="T72" s="2">
        <v>696139</v>
      </c>
      <c r="U72" s="2"/>
      <c r="V72" s="19">
        <f t="shared" si="22"/>
        <v>0.574312951343255</v>
      </c>
      <c r="W72" s="2"/>
      <c r="X72" s="2">
        <f t="shared" si="23"/>
        <v>460987.5</v>
      </c>
      <c r="Y72" s="2"/>
      <c r="Z72" s="19">
        <f t="shared" si="24"/>
        <v>0.66220611113585071</v>
      </c>
    </row>
    <row r="73" spans="1:26" s="24" customFormat="1" hidden="1" outlineLevel="1" x14ac:dyDescent="0.3">
      <c r="A73" s="44"/>
      <c r="B73" s="11" t="str">
        <f>CONCATENATE("          ", "5500", " - ", "FREIGHT-IN")</f>
        <v xml:space="preserve">          5500 - FREIGHT-IN</v>
      </c>
      <c r="C73" s="11"/>
      <c r="D73" s="2">
        <v>10576.59</v>
      </c>
      <c r="E73" s="2"/>
      <c r="F73" s="19">
        <f t="shared" si="17"/>
        <v>5.8137607161872204E-2</v>
      </c>
      <c r="G73" s="2"/>
      <c r="H73" s="2"/>
      <c r="I73" s="2"/>
      <c r="J73" s="19">
        <f t="shared" si="18"/>
        <v>0</v>
      </c>
      <c r="K73" s="2"/>
      <c r="L73" s="2">
        <f t="shared" si="19"/>
        <v>10576.59</v>
      </c>
      <c r="M73" s="2"/>
      <c r="N73" s="19">
        <f t="shared" si="20"/>
        <v>0</v>
      </c>
      <c r="O73" s="11"/>
      <c r="P73" s="2">
        <v>43508.95</v>
      </c>
      <c r="Q73" s="2"/>
      <c r="R73" s="19">
        <f t="shared" si="21"/>
        <v>1.8557997374255109E-2</v>
      </c>
      <c r="S73" s="2"/>
      <c r="T73" s="2"/>
      <c r="U73" s="2"/>
      <c r="V73" s="19">
        <f t="shared" si="22"/>
        <v>0</v>
      </c>
      <c r="W73" s="2"/>
      <c r="X73" s="2">
        <f t="shared" si="23"/>
        <v>43508.95</v>
      </c>
      <c r="Y73" s="2"/>
      <c r="Z73" s="19">
        <f t="shared" si="24"/>
        <v>0</v>
      </c>
    </row>
    <row r="74" spans="1:26" s="24" customFormat="1" hidden="1" outlineLevel="1" x14ac:dyDescent="0.3">
      <c r="A74" s="44"/>
      <c r="B74" s="11" t="str">
        <f>CONCATENATE("          ", "5525", " - ", "FREIGHT-IN-TEST FORMS")</f>
        <v xml:space="preserve">          5525 - FREIGHT-IN-TEST FORMS</v>
      </c>
      <c r="C74" s="11"/>
      <c r="D74" s="2"/>
      <c r="E74" s="2"/>
      <c r="F74" s="19">
        <f t="shared" si="17"/>
        <v>0</v>
      </c>
      <c r="G74" s="2"/>
      <c r="H74" s="2"/>
      <c r="I74" s="2"/>
      <c r="J74" s="19">
        <f t="shared" si="18"/>
        <v>0</v>
      </c>
      <c r="K74" s="2"/>
      <c r="L74" s="2">
        <f t="shared" si="19"/>
        <v>0</v>
      </c>
      <c r="M74" s="2"/>
      <c r="N74" s="19">
        <f t="shared" si="20"/>
        <v>0</v>
      </c>
      <c r="O74" s="11"/>
      <c r="P74" s="2"/>
      <c r="Q74" s="2"/>
      <c r="R74" s="19">
        <f t="shared" si="21"/>
        <v>0</v>
      </c>
      <c r="S74" s="2"/>
      <c r="T74" s="2">
        <v>48.14</v>
      </c>
      <c r="U74" s="2"/>
      <c r="V74" s="19">
        <f t="shared" si="22"/>
        <v>3.9715380804213373E-5</v>
      </c>
      <c r="W74" s="2"/>
      <c r="X74" s="2">
        <f t="shared" si="23"/>
        <v>-48.14</v>
      </c>
      <c r="Y74" s="2"/>
      <c r="Z74" s="19">
        <f t="shared" si="24"/>
        <v>-1</v>
      </c>
    </row>
    <row r="75" spans="1:26" s="24" customFormat="1" hidden="1" outlineLevel="1" x14ac:dyDescent="0.3">
      <c r="A75" s="44"/>
      <c r="B75" s="11" t="str">
        <f>CONCATENATE("          ", "5526", " - ", "FREIGHT-IN-WRITING INSTRUMENTS")</f>
        <v xml:space="preserve">          5526 - FREIGHT-IN-WRITING INSTRUMENTS</v>
      </c>
      <c r="C75" s="11"/>
      <c r="D75" s="2"/>
      <c r="E75" s="2"/>
      <c r="F75" s="19">
        <f t="shared" si="17"/>
        <v>0</v>
      </c>
      <c r="G75" s="2"/>
      <c r="H75" s="2"/>
      <c r="I75" s="2"/>
      <c r="J75" s="19">
        <f t="shared" si="18"/>
        <v>0</v>
      </c>
      <c r="K75" s="2"/>
      <c r="L75" s="2">
        <f t="shared" si="19"/>
        <v>0</v>
      </c>
      <c r="M75" s="2"/>
      <c r="N75" s="19">
        <f t="shared" si="20"/>
        <v>0</v>
      </c>
      <c r="O75" s="11"/>
      <c r="P75" s="2"/>
      <c r="Q75" s="2"/>
      <c r="R75" s="19">
        <f t="shared" si="21"/>
        <v>0</v>
      </c>
      <c r="S75" s="2"/>
      <c r="T75" s="2">
        <v>0</v>
      </c>
      <c r="U75" s="2"/>
      <c r="V75" s="19">
        <f t="shared" si="22"/>
        <v>0</v>
      </c>
      <c r="W75" s="2"/>
      <c r="X75" s="2">
        <f t="shared" si="23"/>
        <v>0</v>
      </c>
      <c r="Y75" s="2"/>
      <c r="Z75" s="19">
        <f t="shared" si="24"/>
        <v>0</v>
      </c>
    </row>
    <row r="76" spans="1:26" s="24" customFormat="1" hidden="1" outlineLevel="1" x14ac:dyDescent="0.3">
      <c r="A76" s="44"/>
      <c r="B76" s="11" t="str">
        <f>CONCATENATE("          ", "5527", " - ", "FREIGHT-IN-SCHOOL SUPPLIES")</f>
        <v xml:space="preserve">          5527 - FREIGHT-IN-SCHOOL SUPPLIES</v>
      </c>
      <c r="C76" s="11"/>
      <c r="D76" s="2"/>
      <c r="E76" s="2"/>
      <c r="F76" s="19">
        <f t="shared" si="17"/>
        <v>0</v>
      </c>
      <c r="G76" s="2"/>
      <c r="H76" s="2"/>
      <c r="I76" s="2"/>
      <c r="J76" s="19">
        <f t="shared" si="18"/>
        <v>0</v>
      </c>
      <c r="K76" s="2"/>
      <c r="L76" s="2">
        <f t="shared" si="19"/>
        <v>0</v>
      </c>
      <c r="M76" s="2"/>
      <c r="N76" s="19">
        <f t="shared" si="20"/>
        <v>0</v>
      </c>
      <c r="O76" s="11"/>
      <c r="P76" s="2">
        <v>0</v>
      </c>
      <c r="Q76" s="2"/>
      <c r="R76" s="19">
        <f t="shared" si="21"/>
        <v>0</v>
      </c>
      <c r="S76" s="2"/>
      <c r="T76" s="2">
        <v>177.5</v>
      </c>
      <c r="U76" s="2"/>
      <c r="V76" s="19">
        <f t="shared" si="22"/>
        <v>1.4643706050577221E-4</v>
      </c>
      <c r="W76" s="2"/>
      <c r="X76" s="2">
        <f t="shared" si="23"/>
        <v>-177.5</v>
      </c>
      <c r="Y76" s="2"/>
      <c r="Z76" s="19">
        <f t="shared" si="24"/>
        <v>-1</v>
      </c>
    </row>
    <row r="77" spans="1:26" s="24" customFormat="1" hidden="1" outlineLevel="1" x14ac:dyDescent="0.3">
      <c r="A77" s="44"/>
      <c r="B77" s="11" t="str">
        <f>CONCATENATE("          ", "5528", " - ", "FREIGHT-IN-ART/TECH")</f>
        <v xml:space="preserve">          5528 - FREIGHT-IN-ART/TECH</v>
      </c>
      <c r="C77" s="11"/>
      <c r="D77" s="2"/>
      <c r="E77" s="2"/>
      <c r="F77" s="19">
        <f t="shared" si="17"/>
        <v>0</v>
      </c>
      <c r="G77" s="2"/>
      <c r="H77" s="2">
        <v>48.53</v>
      </c>
      <c r="I77" s="2"/>
      <c r="J77" s="19">
        <f t="shared" si="18"/>
        <v>3.0275924532407582E-4</v>
      </c>
      <c r="K77" s="2"/>
      <c r="L77" s="2">
        <f t="shared" si="19"/>
        <v>-48.53</v>
      </c>
      <c r="M77" s="2"/>
      <c r="N77" s="19">
        <f t="shared" si="20"/>
        <v>-1</v>
      </c>
      <c r="O77" s="11"/>
      <c r="P77" s="2">
        <v>0</v>
      </c>
      <c r="Q77" s="2"/>
      <c r="R77" s="19">
        <f t="shared" si="21"/>
        <v>0</v>
      </c>
      <c r="S77" s="2"/>
      <c r="T77" s="2">
        <v>338.74</v>
      </c>
      <c r="U77" s="2"/>
      <c r="V77" s="19">
        <f t="shared" si="22"/>
        <v>2.7945966127169172E-4</v>
      </c>
      <c r="W77" s="2"/>
      <c r="X77" s="2">
        <f t="shared" si="23"/>
        <v>-338.74</v>
      </c>
      <c r="Y77" s="2"/>
      <c r="Z77" s="19">
        <f t="shared" si="24"/>
        <v>-1</v>
      </c>
    </row>
    <row r="78" spans="1:26" s="24" customFormat="1" hidden="1" outlineLevel="1" x14ac:dyDescent="0.3">
      <c r="A78" s="44"/>
      <c r="B78" s="11" t="str">
        <f>CONCATENATE("          ", "5540", " - ", "FREIGHT-IN-LOGO CLOTHING")</f>
        <v xml:space="preserve">          5540 - FREIGHT-IN-LOGO CLOTHING</v>
      </c>
      <c r="C78" s="11"/>
      <c r="D78" s="2"/>
      <c r="E78" s="2"/>
      <c r="F78" s="19">
        <f t="shared" si="17"/>
        <v>0</v>
      </c>
      <c r="G78" s="2"/>
      <c r="H78" s="2">
        <v>347.67</v>
      </c>
      <c r="I78" s="2"/>
      <c r="J78" s="19">
        <f t="shared" si="18"/>
        <v>2.168973971189397E-3</v>
      </c>
      <c r="K78" s="2"/>
      <c r="L78" s="2">
        <f t="shared" si="19"/>
        <v>-347.67</v>
      </c>
      <c r="M78" s="2"/>
      <c r="N78" s="19">
        <f t="shared" si="20"/>
        <v>-1</v>
      </c>
      <c r="O78" s="11"/>
      <c r="P78" s="2">
        <v>0</v>
      </c>
      <c r="Q78" s="2"/>
      <c r="R78" s="19">
        <f t="shared" si="21"/>
        <v>0</v>
      </c>
      <c r="S78" s="2"/>
      <c r="T78" s="2">
        <v>5790.63</v>
      </c>
      <c r="U78" s="2"/>
      <c r="V78" s="19">
        <f t="shared" si="22"/>
        <v>4.7772554122621951E-3</v>
      </c>
      <c r="W78" s="2"/>
      <c r="X78" s="2">
        <f t="shared" si="23"/>
        <v>-5790.63</v>
      </c>
      <c r="Y78" s="2"/>
      <c r="Z78" s="19">
        <f t="shared" si="24"/>
        <v>-1</v>
      </c>
    </row>
    <row r="79" spans="1:26" s="24" customFormat="1" hidden="1" outlineLevel="1" x14ac:dyDescent="0.3">
      <c r="A79" s="44"/>
      <c r="B79" s="11" t="str">
        <f>CONCATENATE("          ", "5541", " - ", "FREIGHT-IN-LOGO GIFTS")</f>
        <v xml:space="preserve">          5541 - FREIGHT-IN-LOGO GIFTS</v>
      </c>
      <c r="C79" s="11"/>
      <c r="D79" s="2"/>
      <c r="E79" s="2"/>
      <c r="F79" s="19">
        <f t="shared" si="17"/>
        <v>0</v>
      </c>
      <c r="G79" s="2"/>
      <c r="H79" s="2">
        <v>182.93</v>
      </c>
      <c r="I79" s="2"/>
      <c r="J79" s="19">
        <f t="shared" si="18"/>
        <v>1.1412270502191054E-3</v>
      </c>
      <c r="K79" s="2"/>
      <c r="L79" s="2">
        <f t="shared" si="19"/>
        <v>-182.93</v>
      </c>
      <c r="M79" s="2"/>
      <c r="N79" s="19">
        <f t="shared" si="20"/>
        <v>-1</v>
      </c>
      <c r="O79" s="11"/>
      <c r="P79" s="2">
        <v>0</v>
      </c>
      <c r="Q79" s="2"/>
      <c r="R79" s="19">
        <f t="shared" si="21"/>
        <v>0</v>
      </c>
      <c r="S79" s="2"/>
      <c r="T79" s="2">
        <v>1702.87</v>
      </c>
      <c r="U79" s="2"/>
      <c r="V79" s="19">
        <f t="shared" si="22"/>
        <v>1.40486353365332E-3</v>
      </c>
      <c r="W79" s="2"/>
      <c r="X79" s="2">
        <f t="shared" si="23"/>
        <v>-1702.87</v>
      </c>
      <c r="Y79" s="2"/>
      <c r="Z79" s="19">
        <f t="shared" si="24"/>
        <v>-1</v>
      </c>
    </row>
    <row r="80" spans="1:26" s="24" customFormat="1" hidden="1" outlineLevel="1" x14ac:dyDescent="0.3">
      <c r="A80" s="44"/>
      <c r="B80" s="11" t="str">
        <f>CONCATENATE("          ", "5542", " - ", "FREIGHT-IN-EVERYDAY GIFTS")</f>
        <v xml:space="preserve">          5542 - FREIGHT-IN-EVERYDAY GIFTS</v>
      </c>
      <c r="C80" s="11"/>
      <c r="D80" s="2"/>
      <c r="E80" s="2"/>
      <c r="F80" s="19">
        <f t="shared" si="17"/>
        <v>0</v>
      </c>
      <c r="G80" s="2"/>
      <c r="H80" s="2">
        <v>187.38</v>
      </c>
      <c r="I80" s="2"/>
      <c r="J80" s="19">
        <f t="shared" si="18"/>
        <v>1.1689888190567757E-3</v>
      </c>
      <c r="K80" s="2"/>
      <c r="L80" s="2">
        <f t="shared" si="19"/>
        <v>-187.38</v>
      </c>
      <c r="M80" s="2"/>
      <c r="N80" s="19">
        <f t="shared" si="20"/>
        <v>-1</v>
      </c>
      <c r="O80" s="11"/>
      <c r="P80" s="2">
        <v>0</v>
      </c>
      <c r="Q80" s="2"/>
      <c r="R80" s="19">
        <f t="shared" si="21"/>
        <v>0</v>
      </c>
      <c r="S80" s="2"/>
      <c r="T80" s="2">
        <v>383.93</v>
      </c>
      <c r="U80" s="2"/>
      <c r="V80" s="19">
        <f t="shared" si="22"/>
        <v>3.1674129938017532E-4</v>
      </c>
      <c r="W80" s="2"/>
      <c r="X80" s="2">
        <f t="shared" si="23"/>
        <v>-383.93</v>
      </c>
      <c r="Y80" s="2"/>
      <c r="Z80" s="19">
        <f t="shared" si="24"/>
        <v>-1</v>
      </c>
    </row>
    <row r="81" spans="1:26" s="24" customFormat="1" hidden="1" outlineLevel="1" x14ac:dyDescent="0.3">
      <c r="A81" s="44"/>
      <c r="B81" s="11" t="str">
        <f>CONCATENATE("          ", "5543", " - ", "FREIGHT-IN-CARDS")</f>
        <v xml:space="preserve">          5543 - FREIGHT-IN-CARDS</v>
      </c>
      <c r="C81" s="11"/>
      <c r="D81" s="2"/>
      <c r="E81" s="2"/>
      <c r="F81" s="19">
        <f t="shared" si="17"/>
        <v>0</v>
      </c>
      <c r="G81" s="2"/>
      <c r="H81" s="2">
        <v>1992.81</v>
      </c>
      <c r="I81" s="2"/>
      <c r="J81" s="19">
        <f t="shared" si="18"/>
        <v>1.2432343945482618E-2</v>
      </c>
      <c r="K81" s="2"/>
      <c r="L81" s="2">
        <f t="shared" si="19"/>
        <v>-1992.81</v>
      </c>
      <c r="M81" s="2"/>
      <c r="N81" s="19">
        <f t="shared" si="20"/>
        <v>-1</v>
      </c>
      <c r="O81" s="11"/>
      <c r="P81" s="2"/>
      <c r="Q81" s="2"/>
      <c r="R81" s="19">
        <f t="shared" si="21"/>
        <v>0</v>
      </c>
      <c r="S81" s="2"/>
      <c r="T81" s="2">
        <v>9110.5300000000007</v>
      </c>
      <c r="U81" s="2"/>
      <c r="V81" s="19">
        <f t="shared" si="22"/>
        <v>7.5161646921107208E-3</v>
      </c>
      <c r="W81" s="2"/>
      <c r="X81" s="2">
        <f t="shared" si="23"/>
        <v>-9110.5300000000007</v>
      </c>
      <c r="Y81" s="2"/>
      <c r="Z81" s="19">
        <f t="shared" si="24"/>
        <v>-1</v>
      </c>
    </row>
    <row r="82" spans="1:26" s="24" customFormat="1" hidden="1" outlineLevel="1" x14ac:dyDescent="0.3">
      <c r="A82" s="44"/>
      <c r="B82" s="11" t="str">
        <f>CONCATENATE("          ", "5544", " - ", "FREIGHT-IN-ACCESSORIES")</f>
        <v xml:space="preserve">          5544 - FREIGHT-IN-ACCESSORIES</v>
      </c>
      <c r="C82" s="11"/>
      <c r="D82" s="2"/>
      <c r="E82" s="2"/>
      <c r="F82" s="19">
        <f t="shared" si="17"/>
        <v>0</v>
      </c>
      <c r="G82" s="2"/>
      <c r="H82" s="2"/>
      <c r="I82" s="2"/>
      <c r="J82" s="19">
        <f t="shared" si="18"/>
        <v>0</v>
      </c>
      <c r="K82" s="2"/>
      <c r="L82" s="2">
        <f t="shared" si="19"/>
        <v>0</v>
      </c>
      <c r="M82" s="2"/>
      <c r="N82" s="19">
        <f t="shared" si="20"/>
        <v>0</v>
      </c>
      <c r="O82" s="11"/>
      <c r="P82" s="2">
        <v>0</v>
      </c>
      <c r="Q82" s="2"/>
      <c r="R82" s="19">
        <f t="shared" si="21"/>
        <v>0</v>
      </c>
      <c r="S82" s="2"/>
      <c r="T82" s="2"/>
      <c r="U82" s="2"/>
      <c r="V82" s="19">
        <f t="shared" si="22"/>
        <v>0</v>
      </c>
      <c r="W82" s="2"/>
      <c r="X82" s="2">
        <f t="shared" si="23"/>
        <v>0</v>
      </c>
      <c r="Y82" s="2"/>
      <c r="Z82" s="19">
        <f t="shared" si="24"/>
        <v>0</v>
      </c>
    </row>
    <row r="83" spans="1:26" s="24" customFormat="1" hidden="1" outlineLevel="1" x14ac:dyDescent="0.3">
      <c r="A83" s="44"/>
      <c r="B83" s="11" t="str">
        <f>CONCATENATE("          ", "5545", " - ", "FREIGHT-IN-SPECIAL ORDERS")</f>
        <v xml:space="preserve">          5545 - FREIGHT-IN-SPECIAL ORDERS</v>
      </c>
      <c r="C83" s="11"/>
      <c r="D83" s="2"/>
      <c r="E83" s="2"/>
      <c r="F83" s="19">
        <f t="shared" si="17"/>
        <v>0</v>
      </c>
      <c r="G83" s="2"/>
      <c r="H83" s="2"/>
      <c r="I83" s="2"/>
      <c r="J83" s="19">
        <f t="shared" si="18"/>
        <v>0</v>
      </c>
      <c r="K83" s="2"/>
      <c r="L83" s="2">
        <f t="shared" si="19"/>
        <v>0</v>
      </c>
      <c r="M83" s="2"/>
      <c r="N83" s="19">
        <f t="shared" si="20"/>
        <v>0</v>
      </c>
      <c r="O83" s="11"/>
      <c r="P83" s="2">
        <v>0</v>
      </c>
      <c r="Q83" s="2"/>
      <c r="R83" s="19">
        <f t="shared" si="21"/>
        <v>0</v>
      </c>
      <c r="S83" s="2"/>
      <c r="T83" s="2">
        <v>1113.79</v>
      </c>
      <c r="U83" s="2"/>
      <c r="V83" s="19">
        <f t="shared" si="22"/>
        <v>9.1887399222943106E-4</v>
      </c>
      <c r="W83" s="2"/>
      <c r="X83" s="2">
        <f t="shared" si="23"/>
        <v>-1113.79</v>
      </c>
      <c r="Y83" s="2"/>
      <c r="Z83" s="19">
        <f t="shared" si="24"/>
        <v>-1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">
      <c r="A85" s="10"/>
      <c r="B85" s="25" t="s">
        <v>107</v>
      </c>
      <c r="C85" s="25"/>
      <c r="D85" s="21">
        <f>D12-D58</f>
        <v>95839.270000000033</v>
      </c>
      <c r="E85" s="13"/>
      <c r="F85" s="22">
        <f>IF(D$12=0,0,D85/D$12)</f>
        <v>0.52681117732091398</v>
      </c>
      <c r="G85" s="13"/>
      <c r="H85" s="21">
        <f>H12-H58</f>
        <v>75570.860000000073</v>
      </c>
      <c r="I85" s="13"/>
      <c r="J85" s="22">
        <f>IF(H$12=0,0,H85/H$12)</f>
        <v>0.47145634745706594</v>
      </c>
      <c r="K85" s="15"/>
      <c r="L85" s="21">
        <f>+D85-H85</f>
        <v>20268.40999999996</v>
      </c>
      <c r="M85" s="15"/>
      <c r="N85" s="22">
        <f>IF(H85=0,0,L85/H85)</f>
        <v>0.26820404055213798</v>
      </c>
      <c r="O85" s="26"/>
      <c r="P85" s="21">
        <f>P12-P58</f>
        <v>1187358.6900000004</v>
      </c>
      <c r="Q85" s="13"/>
      <c r="R85" s="22">
        <f>IF(P$12=0,0,P85/P$12)</f>
        <v>0.50644751140441202</v>
      </c>
      <c r="S85" s="13"/>
      <c r="T85" s="21">
        <f>T12-T58</f>
        <v>515484.04999999946</v>
      </c>
      <c r="U85" s="13"/>
      <c r="V85" s="22">
        <f>IF(T$12=0,0,T85/T$12)</f>
        <v>0.42527306489921368</v>
      </c>
      <c r="W85" s="15"/>
      <c r="X85" s="21">
        <f>+P85-T85</f>
        <v>671874.64000000095</v>
      </c>
      <c r="Y85" s="15"/>
      <c r="Z85" s="22">
        <f>IF(T85=0,0,X85/T85)</f>
        <v>1.303385895257092</v>
      </c>
    </row>
    <row r="86" spans="1:26" x14ac:dyDescent="0.3">
      <c r="A86" s="9"/>
      <c r="B86" s="10"/>
      <c r="C86" s="9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6" t="s">
        <v>294</v>
      </c>
      <c r="C87" s="10"/>
      <c r="D87" s="20">
        <f>SUM(OSRRefD22x_0)</f>
        <v>135202.20000000001</v>
      </c>
      <c r="E87" s="20"/>
      <c r="F87" s="30">
        <f t="shared" ref="F87:F96" si="25">IF(D$12=0,0,D87/D$12)</f>
        <v>0.74318210226744896</v>
      </c>
      <c r="G87" s="20"/>
      <c r="H87" s="20">
        <f>SUM(OSRRefH22x_0)</f>
        <v>79017.529999999984</v>
      </c>
      <c r="I87" s="20"/>
      <c r="J87" s="30">
        <f t="shared" ref="J87:J96" si="26">IF(H$12=0,0,H87/H$12)</f>
        <v>0.49295874201880308</v>
      </c>
      <c r="K87" s="4"/>
      <c r="L87" s="20">
        <f t="shared" ref="L87:L96" si="27">+D87-H87</f>
        <v>56184.670000000027</v>
      </c>
      <c r="M87" s="4"/>
      <c r="N87" s="30">
        <f t="shared" ref="N87:N96" si="28">IF(H87=0,0,L87/H87)</f>
        <v>0.71104057542674437</v>
      </c>
      <c r="O87" s="10"/>
      <c r="P87" s="20">
        <f>SUM(OSRRefP22x_0)</f>
        <v>717993.69000000006</v>
      </c>
      <c r="Q87" s="20"/>
      <c r="R87" s="30">
        <f t="shared" ref="R87:R96" si="29">IF(P$12=0,0,P87/P$12)</f>
        <v>0.30624791022885495</v>
      </c>
      <c r="S87" s="20"/>
      <c r="T87" s="20">
        <f>SUM(OSRRefT22x_0)</f>
        <v>497125.22000000003</v>
      </c>
      <c r="U87" s="20"/>
      <c r="V87" s="30">
        <f t="shared" ref="V87:V96" si="30">IF(T$12=0,0,T87/T$12)</f>
        <v>0.4101270756061145</v>
      </c>
      <c r="W87" s="4"/>
      <c r="X87" s="20">
        <f t="shared" ref="X87:X96" si="31">+P87-T87</f>
        <v>220868.47000000003</v>
      </c>
      <c r="Y87" s="4"/>
      <c r="Z87" s="30">
        <f t="shared" ref="Z87:Z96" si="32">IF(T87=0,0,X87/T87)</f>
        <v>0.44429142017779749</v>
      </c>
    </row>
    <row r="88" spans="1:26" s="29" customFormat="1" outlineLevel="1" collapsed="1" x14ac:dyDescent="0.3">
      <c r="A88" s="28"/>
      <c r="B88" s="14" t="str">
        <f>CONCATENATE("     ","*Benefits                                         ")</f>
        <v xml:space="preserve">     *Benefits                                         </v>
      </c>
      <c r="C88" s="14"/>
      <c r="D88" s="1">
        <f>SUM(OSRRefD22_0x_0)</f>
        <v>18987.850000000002</v>
      </c>
      <c r="E88" s="1"/>
      <c r="F88" s="5">
        <f t="shared" si="25"/>
        <v>0.10437278594977731</v>
      </c>
      <c r="G88" s="1"/>
      <c r="H88" s="1">
        <f>SUM(OSRRefH22_0x_0)</f>
        <v>14402.33</v>
      </c>
      <c r="I88" s="1"/>
      <c r="J88" s="5">
        <f t="shared" si="26"/>
        <v>8.9850372176144583E-2</v>
      </c>
      <c r="K88" s="1"/>
      <c r="L88" s="1">
        <f t="shared" si="27"/>
        <v>4585.5200000000023</v>
      </c>
      <c r="M88" s="1"/>
      <c r="N88" s="5">
        <f t="shared" si="28"/>
        <v>0.31838737204327372</v>
      </c>
      <c r="O88" s="14"/>
      <c r="P88" s="1">
        <f>SUM(OSRRefP22_0x_0)</f>
        <v>105436.82999999999</v>
      </c>
      <c r="Q88" s="1"/>
      <c r="R88" s="5">
        <f t="shared" si="29"/>
        <v>4.4972273849168555E-2</v>
      </c>
      <c r="S88" s="1"/>
      <c r="T88" s="1">
        <f>SUM(OSRRefT22_0x_0)</f>
        <v>108161.07999999999</v>
      </c>
      <c r="U88" s="1"/>
      <c r="V88" s="5">
        <f t="shared" si="30"/>
        <v>8.9232623190589666E-2</v>
      </c>
      <c r="W88" s="1"/>
      <c r="X88" s="1">
        <f t="shared" si="31"/>
        <v>-2724.25</v>
      </c>
      <c r="Y88" s="1"/>
      <c r="Z88" s="5">
        <f t="shared" si="32"/>
        <v>-2.5186971136013068E-2</v>
      </c>
    </row>
    <row r="89" spans="1:26" s="24" customFormat="1" hidden="1" outlineLevel="2" x14ac:dyDescent="0.3">
      <c r="A89" s="27"/>
      <c r="B89" s="11" t="str">
        <f>CONCATENATE("          ", "6111", " - ", "F.I.C.A.")</f>
        <v xml:space="preserve">          6111 - F.I.C.A.</v>
      </c>
      <c r="C89" s="11"/>
      <c r="D89" s="7">
        <v>2350.34</v>
      </c>
      <c r="E89" s="2"/>
      <c r="F89" s="6">
        <f t="shared" si="25"/>
        <v>1.2919394967265888E-2</v>
      </c>
      <c r="G89" s="2"/>
      <c r="H89" s="7">
        <v>2448.2600000000002</v>
      </c>
      <c r="I89" s="2"/>
      <c r="J89" s="6">
        <f t="shared" si="26"/>
        <v>1.5273714196520129E-2</v>
      </c>
      <c r="K89" s="2"/>
      <c r="L89" s="7">
        <f t="shared" si="27"/>
        <v>-97.920000000000073</v>
      </c>
      <c r="M89" s="2"/>
      <c r="N89" s="6">
        <f t="shared" si="28"/>
        <v>-3.9995752085154379E-2</v>
      </c>
      <c r="O89" s="11"/>
      <c r="P89" s="7">
        <v>19677.95</v>
      </c>
      <c r="Q89" s="2"/>
      <c r="R89" s="6">
        <f t="shared" si="29"/>
        <v>8.3932925163839479E-3</v>
      </c>
      <c r="S89" s="2"/>
      <c r="T89" s="7">
        <v>21780.57</v>
      </c>
      <c r="U89" s="2"/>
      <c r="V89" s="6">
        <f t="shared" si="30"/>
        <v>1.7968916320789896E-2</v>
      </c>
      <c r="W89" s="2"/>
      <c r="X89" s="7">
        <f t="shared" si="31"/>
        <v>-2102.619999999999</v>
      </c>
      <c r="Y89" s="2"/>
      <c r="Z89" s="6">
        <f t="shared" si="32"/>
        <v>-9.6536500192602806E-2</v>
      </c>
    </row>
    <row r="90" spans="1:26" s="24" customFormat="1" hidden="1" outlineLevel="2" x14ac:dyDescent="0.3">
      <c r="A90" s="27"/>
      <c r="B90" s="11" t="str">
        <f>CONCATENATE("          ", "6112", " - ", "COMPENSATION INSURANCE")</f>
        <v xml:space="preserve">          6112 - COMPENSATION INSURANCE</v>
      </c>
      <c r="C90" s="11"/>
      <c r="D90" s="7">
        <v>911.47</v>
      </c>
      <c r="E90" s="2"/>
      <c r="F90" s="6">
        <f t="shared" si="25"/>
        <v>5.0101861563917726E-3</v>
      </c>
      <c r="G90" s="2"/>
      <c r="H90" s="7">
        <v>265.27</v>
      </c>
      <c r="I90" s="2"/>
      <c r="J90" s="6">
        <f t="shared" si="26"/>
        <v>1.654913352712087E-3</v>
      </c>
      <c r="K90" s="2"/>
      <c r="L90" s="7">
        <f t="shared" si="27"/>
        <v>646.20000000000005</v>
      </c>
      <c r="M90" s="2"/>
      <c r="N90" s="6">
        <f t="shared" si="28"/>
        <v>2.4360085950163985</v>
      </c>
      <c r="O90" s="11"/>
      <c r="P90" s="7">
        <v>6654.77</v>
      </c>
      <c r="Q90" s="2"/>
      <c r="R90" s="6">
        <f t="shared" si="29"/>
        <v>2.8384781564774991E-3</v>
      </c>
      <c r="S90" s="2"/>
      <c r="T90" s="7">
        <v>7995.62</v>
      </c>
      <c r="U90" s="2"/>
      <c r="V90" s="6">
        <f t="shared" si="30"/>
        <v>6.5963667026544357E-3</v>
      </c>
      <c r="W90" s="2"/>
      <c r="X90" s="7">
        <f t="shared" si="31"/>
        <v>-1340.8499999999995</v>
      </c>
      <c r="Y90" s="2"/>
      <c r="Z90" s="6">
        <f t="shared" si="32"/>
        <v>-0.16769806469041793</v>
      </c>
    </row>
    <row r="91" spans="1:26" s="24" customFormat="1" hidden="1" outlineLevel="2" x14ac:dyDescent="0.3">
      <c r="A91" s="27"/>
      <c r="B91" s="11" t="str">
        <f>CONCATENATE("          ", "6113", " - ", "GROUP INSURANCE")</f>
        <v xml:space="preserve">          6113 - GROUP INSURANCE</v>
      </c>
      <c r="C91" s="11"/>
      <c r="D91" s="7">
        <v>4432.75</v>
      </c>
      <c r="E91" s="2"/>
      <c r="F91" s="6">
        <f t="shared" si="25"/>
        <v>2.4366027060403118E-2</v>
      </c>
      <c r="G91" s="2"/>
      <c r="H91" s="7">
        <v>5528.62</v>
      </c>
      <c r="I91" s="2"/>
      <c r="J91" s="6">
        <f t="shared" si="26"/>
        <v>3.4490847287937193E-2</v>
      </c>
      <c r="K91" s="2"/>
      <c r="L91" s="7">
        <f t="shared" si="27"/>
        <v>-1095.8699999999999</v>
      </c>
      <c r="M91" s="2"/>
      <c r="N91" s="6">
        <f t="shared" si="28"/>
        <v>-0.19821763839800888</v>
      </c>
      <c r="O91" s="11"/>
      <c r="P91" s="7">
        <v>33333.279999999999</v>
      </c>
      <c r="Q91" s="2"/>
      <c r="R91" s="6">
        <f t="shared" si="29"/>
        <v>1.4217739630933644E-2</v>
      </c>
      <c r="S91" s="2"/>
      <c r="T91" s="7">
        <v>38945.040000000001</v>
      </c>
      <c r="U91" s="2"/>
      <c r="V91" s="6">
        <f t="shared" si="30"/>
        <v>3.2129561571153348E-2</v>
      </c>
      <c r="W91" s="2"/>
      <c r="X91" s="7">
        <f t="shared" si="31"/>
        <v>-5611.760000000002</v>
      </c>
      <c r="Y91" s="2"/>
      <c r="Z91" s="6">
        <f t="shared" si="32"/>
        <v>-0.14409434423484999</v>
      </c>
    </row>
    <row r="92" spans="1:26" s="24" customFormat="1" hidden="1" outlineLevel="2" x14ac:dyDescent="0.3">
      <c r="A92" s="27"/>
      <c r="B92" s="11" t="str">
        <f>CONCATENATE("          ", "6114", " - ", "STATE UNEMPLOYMENT INSURANCE")</f>
        <v xml:space="preserve">          6114 - STATE UNEMPLOYMENT INSURANCE</v>
      </c>
      <c r="C92" s="11"/>
      <c r="D92" s="7">
        <v>160.22999999999999</v>
      </c>
      <c r="E92" s="2"/>
      <c r="F92" s="6">
        <f t="shared" si="25"/>
        <v>8.8075540373095513E-4</v>
      </c>
      <c r="G92" s="2"/>
      <c r="H92" s="7">
        <v>211.03</v>
      </c>
      <c r="I92" s="2"/>
      <c r="J92" s="6">
        <f t="shared" si="26"/>
        <v>1.3165317028794501E-3</v>
      </c>
      <c r="K92" s="2"/>
      <c r="L92" s="7">
        <f t="shared" si="27"/>
        <v>-50.800000000000011</v>
      </c>
      <c r="M92" s="2"/>
      <c r="N92" s="6">
        <f t="shared" si="28"/>
        <v>-0.24072406766810411</v>
      </c>
      <c r="O92" s="11"/>
      <c r="P92" s="7">
        <v>1169.18</v>
      </c>
      <c r="Q92" s="2"/>
      <c r="R92" s="6">
        <f t="shared" si="29"/>
        <v>4.9869370256077402E-4</v>
      </c>
      <c r="S92" s="2"/>
      <c r="T92" s="7">
        <v>925.7</v>
      </c>
      <c r="U92" s="2"/>
      <c r="V92" s="6">
        <f t="shared" si="30"/>
        <v>7.6370020794475123E-4</v>
      </c>
      <c r="W92" s="2"/>
      <c r="X92" s="7">
        <f t="shared" si="31"/>
        <v>243.48000000000002</v>
      </c>
      <c r="Y92" s="2"/>
      <c r="Z92" s="6">
        <f t="shared" si="32"/>
        <v>0.26302257750891217</v>
      </c>
    </row>
    <row r="93" spans="1:26" s="24" customFormat="1" hidden="1" outlineLevel="2" x14ac:dyDescent="0.3">
      <c r="A93" s="27"/>
      <c r="B93" s="11" t="str">
        <f>CONCATENATE("          ", "6115", " - ", "P.E.R.S.")</f>
        <v xml:space="preserve">          6115 - P.E.R.S.</v>
      </c>
      <c r="C93" s="11"/>
      <c r="D93" s="7">
        <v>1642.66</v>
      </c>
      <c r="E93" s="2"/>
      <c r="F93" s="6">
        <f t="shared" si="25"/>
        <v>9.029405676169824E-3</v>
      </c>
      <c r="G93" s="2"/>
      <c r="H93" s="7">
        <v>2835.08</v>
      </c>
      <c r="I93" s="2"/>
      <c r="J93" s="6">
        <f t="shared" si="26"/>
        <v>1.7686929347483636E-2</v>
      </c>
      <c r="K93" s="2"/>
      <c r="L93" s="7">
        <f t="shared" si="27"/>
        <v>-1192.4199999999998</v>
      </c>
      <c r="M93" s="2"/>
      <c r="N93" s="6">
        <f t="shared" si="28"/>
        <v>-0.42059483330276393</v>
      </c>
      <c r="O93" s="11"/>
      <c r="P93" s="7">
        <v>12035.65</v>
      </c>
      <c r="Q93" s="2"/>
      <c r="R93" s="6">
        <f t="shared" si="29"/>
        <v>5.1336003534319611E-3</v>
      </c>
      <c r="S93" s="2"/>
      <c r="T93" s="7">
        <v>14395.2</v>
      </c>
      <c r="U93" s="2"/>
      <c r="V93" s="6">
        <f t="shared" si="30"/>
        <v>1.1876004357141928E-2</v>
      </c>
      <c r="W93" s="2"/>
      <c r="X93" s="7">
        <f t="shared" si="31"/>
        <v>-2359.5500000000011</v>
      </c>
      <c r="Y93" s="2"/>
      <c r="Z93" s="6">
        <f t="shared" si="32"/>
        <v>-0.16391227631432706</v>
      </c>
    </row>
    <row r="94" spans="1:26" s="24" customFormat="1" hidden="1" outlineLevel="2" x14ac:dyDescent="0.3">
      <c r="A94" s="27"/>
      <c r="B94" s="11" t="str">
        <f>CONCATENATE("          ", "6118", " - ", "VACATION")</f>
        <v xml:space="preserve">          6118 - VACATION</v>
      </c>
      <c r="C94" s="11"/>
      <c r="D94" s="7">
        <v>3374.6</v>
      </c>
      <c r="E94" s="2"/>
      <c r="F94" s="6">
        <f t="shared" si="25"/>
        <v>1.8549567405794679E-2</v>
      </c>
      <c r="G94" s="2"/>
      <c r="H94" s="7">
        <v>1729.43</v>
      </c>
      <c r="I94" s="2"/>
      <c r="J94" s="6">
        <f t="shared" si="26"/>
        <v>1.0789221546276869E-2</v>
      </c>
      <c r="K94" s="2"/>
      <c r="L94" s="7">
        <f t="shared" si="27"/>
        <v>1645.1699999999998</v>
      </c>
      <c r="M94" s="2"/>
      <c r="N94" s="6">
        <f t="shared" si="28"/>
        <v>0.9512787450200354</v>
      </c>
      <c r="O94" s="11"/>
      <c r="P94" s="7">
        <v>14505.29</v>
      </c>
      <c r="Q94" s="2"/>
      <c r="R94" s="6">
        <f t="shared" si="29"/>
        <v>6.1869829939083546E-3</v>
      </c>
      <c r="S94" s="2"/>
      <c r="T94" s="7">
        <v>11996.23</v>
      </c>
      <c r="U94" s="2"/>
      <c r="V94" s="6">
        <f t="shared" si="30"/>
        <v>9.8968600470487871E-3</v>
      </c>
      <c r="W94" s="2"/>
      <c r="X94" s="7">
        <f t="shared" si="31"/>
        <v>2509.0600000000013</v>
      </c>
      <c r="Y94" s="2"/>
      <c r="Z94" s="6">
        <f t="shared" si="32"/>
        <v>0.20915404256170492</v>
      </c>
    </row>
    <row r="95" spans="1:26" s="24" customFormat="1" hidden="1" outlineLevel="2" x14ac:dyDescent="0.3">
      <c r="A95" s="27"/>
      <c r="B95" s="11" t="str">
        <f>CONCATENATE("          ", "6119", " - ", "SICK LEAVE")</f>
        <v xml:space="preserve">          6119 - SICK LEAVE</v>
      </c>
      <c r="C95" s="11"/>
      <c r="D95" s="7">
        <v>5294.1</v>
      </c>
      <c r="E95" s="2"/>
      <c r="F95" s="6">
        <f t="shared" si="25"/>
        <v>2.910071261868595E-2</v>
      </c>
      <c r="G95" s="2"/>
      <c r="H95" s="7">
        <v>1220.93</v>
      </c>
      <c r="I95" s="2"/>
      <c r="J95" s="6">
        <f t="shared" si="26"/>
        <v>7.6168935790958967E-3</v>
      </c>
      <c r="K95" s="2"/>
      <c r="L95" s="7">
        <f t="shared" si="27"/>
        <v>4073.17</v>
      </c>
      <c r="M95" s="2"/>
      <c r="N95" s="6">
        <f t="shared" si="28"/>
        <v>3.3361208259277761</v>
      </c>
      <c r="O95" s="11"/>
      <c r="P95" s="7">
        <v>12666.43</v>
      </c>
      <c r="Q95" s="2"/>
      <c r="R95" s="6">
        <f t="shared" si="29"/>
        <v>5.4026487580414182E-3</v>
      </c>
      <c r="S95" s="2"/>
      <c r="T95" s="7">
        <v>9025.4</v>
      </c>
      <c r="U95" s="2"/>
      <c r="V95" s="6">
        <f t="shared" si="30"/>
        <v>7.4459326528946278E-3</v>
      </c>
      <c r="W95" s="2"/>
      <c r="X95" s="7">
        <f t="shared" si="31"/>
        <v>3641.0300000000007</v>
      </c>
      <c r="Y95" s="2"/>
      <c r="Z95" s="6">
        <f t="shared" si="32"/>
        <v>0.40342034702063073</v>
      </c>
    </row>
    <row r="96" spans="1:26" s="24" customFormat="1" hidden="1" outlineLevel="2" x14ac:dyDescent="0.3">
      <c r="A96" s="27"/>
      <c r="B96" s="11" t="str">
        <f>CONCATENATE("          ", "6156", " - ", "EMPLOYEE MEALS")</f>
        <v xml:space="preserve">          6156 - EMPLOYEE MEALS</v>
      </c>
      <c r="C96" s="11"/>
      <c r="D96" s="7">
        <v>821.7</v>
      </c>
      <c r="E96" s="2"/>
      <c r="F96" s="6">
        <f t="shared" si="25"/>
        <v>4.5167366613351172E-3</v>
      </c>
      <c r="G96" s="2"/>
      <c r="H96" s="7">
        <v>163.71</v>
      </c>
      <c r="I96" s="2"/>
      <c r="J96" s="6">
        <f t="shared" si="26"/>
        <v>1.0213211632393252E-3</v>
      </c>
      <c r="K96" s="2"/>
      <c r="L96" s="7">
        <f t="shared" si="27"/>
        <v>657.99</v>
      </c>
      <c r="M96" s="2"/>
      <c r="N96" s="6">
        <f t="shared" si="28"/>
        <v>4.0192413413963717</v>
      </c>
      <c r="O96" s="11"/>
      <c r="P96" s="7">
        <v>5394.28</v>
      </c>
      <c r="Q96" s="2"/>
      <c r="R96" s="6">
        <f t="shared" si="29"/>
        <v>2.3008377374309618E-3</v>
      </c>
      <c r="S96" s="2"/>
      <c r="T96" s="7">
        <v>3097.32</v>
      </c>
      <c r="U96" s="2"/>
      <c r="V96" s="6">
        <f t="shared" si="30"/>
        <v>2.5552813309619063E-3</v>
      </c>
      <c r="W96" s="2"/>
      <c r="X96" s="7">
        <f t="shared" si="31"/>
        <v>2296.9599999999996</v>
      </c>
      <c r="Y96" s="2"/>
      <c r="Z96" s="6">
        <f t="shared" si="32"/>
        <v>0.74159596037864972</v>
      </c>
    </row>
    <row r="97" spans="1:26" s="29" customFormat="1" outlineLevel="1" collapsed="1" x14ac:dyDescent="0.3">
      <c r="A97" s="28"/>
      <c r="B97" s="14" t="str">
        <f>CONCATENATE("     ","*Payroll                                          ")</f>
        <v xml:space="preserve">     *Payroll                                          </v>
      </c>
      <c r="C97" s="14"/>
      <c r="D97" s="1">
        <f>SUM(OSRRefD22_1x_0)</f>
        <v>78558.989999999991</v>
      </c>
      <c r="E97" s="1"/>
      <c r="F97" s="5">
        <f t="shared" ref="F97:F102" si="33">IF(D$12=0,0,D97/D$12)</f>
        <v>0.43182459560722747</v>
      </c>
      <c r="G97" s="1"/>
      <c r="H97" s="1">
        <f>SUM(OSRRefH22_1x_0)</f>
        <v>45208.939999999995</v>
      </c>
      <c r="I97" s="1"/>
      <c r="J97" s="5">
        <f t="shared" ref="J97:J102" si="34">IF(H$12=0,0,H97/H$12)</f>
        <v>0.282040481275529</v>
      </c>
      <c r="K97" s="1"/>
      <c r="L97" s="1">
        <f t="shared" ref="L97:L102" si="35">+D97-H97</f>
        <v>33350.049999999996</v>
      </c>
      <c r="M97" s="1"/>
      <c r="N97" s="5">
        <f t="shared" ref="N97:N102" si="36">IF(H97=0,0,L97/H97)</f>
        <v>0.73768705924093769</v>
      </c>
      <c r="O97" s="14"/>
      <c r="P97" s="1">
        <f>SUM(OSRRefP22_1x_0)</f>
        <v>457897.34</v>
      </c>
      <c r="Q97" s="1"/>
      <c r="R97" s="5">
        <f t="shared" ref="R97:R102" si="37">IF(P$12=0,0,P97/P$12)</f>
        <v>0.1953082672277405</v>
      </c>
      <c r="S97" s="1"/>
      <c r="T97" s="1">
        <f>SUM(OSRRefT22_1x_0)</f>
        <v>274575.32999999996</v>
      </c>
      <c r="U97" s="1"/>
      <c r="V97" s="5">
        <f t="shared" ref="V97:V102" si="38">IF(T$12=0,0,T97/T$12)</f>
        <v>0.2265239673949429</v>
      </c>
      <c r="W97" s="1"/>
      <c r="X97" s="1">
        <f t="shared" ref="X97:X102" si="39">+P97-T97</f>
        <v>183322.01000000007</v>
      </c>
      <c r="Y97" s="1"/>
      <c r="Z97" s="5">
        <f t="shared" ref="Z97:Z102" si="40">IF(T97=0,0,X97/T97)</f>
        <v>0.66765652252880869</v>
      </c>
    </row>
    <row r="98" spans="1:26" s="24" customFormat="1" hidden="1" outlineLevel="2" x14ac:dyDescent="0.3">
      <c r="A98" s="27"/>
      <c r="B98" s="11" t="str">
        <f>CONCATENATE("          ", "6002", " - ", "STAFF SALARIES")</f>
        <v xml:space="preserve">          6002 - STAFF SALARIES</v>
      </c>
      <c r="C98" s="11"/>
      <c r="D98" s="7">
        <v>18768.439999999999</v>
      </c>
      <c r="E98" s="2"/>
      <c r="F98" s="6">
        <f t="shared" si="33"/>
        <v>0.10316672876240533</v>
      </c>
      <c r="G98" s="2"/>
      <c r="H98" s="7">
        <v>23210.36</v>
      </c>
      <c r="I98" s="2"/>
      <c r="J98" s="6">
        <f t="shared" si="34"/>
        <v>0.14480014583350745</v>
      </c>
      <c r="K98" s="2"/>
      <c r="L98" s="7">
        <f t="shared" si="35"/>
        <v>-4441.9200000000019</v>
      </c>
      <c r="M98" s="2"/>
      <c r="N98" s="6">
        <f t="shared" si="36"/>
        <v>-0.19137660941062534</v>
      </c>
      <c r="O98" s="11"/>
      <c r="P98" s="7">
        <v>118622.39</v>
      </c>
      <c r="Q98" s="2"/>
      <c r="R98" s="6">
        <f t="shared" si="37"/>
        <v>5.0596348616729792E-2</v>
      </c>
      <c r="S98" s="2"/>
      <c r="T98" s="7">
        <v>126903.55</v>
      </c>
      <c r="U98" s="2"/>
      <c r="V98" s="6">
        <f t="shared" si="38"/>
        <v>0.10469511453378753</v>
      </c>
      <c r="W98" s="2"/>
      <c r="X98" s="7">
        <f t="shared" si="39"/>
        <v>-8281.1600000000035</v>
      </c>
      <c r="Y98" s="2"/>
      <c r="Z98" s="6">
        <f t="shared" si="40"/>
        <v>-6.5255542496644128E-2</v>
      </c>
    </row>
    <row r="99" spans="1:26" s="24" customFormat="1" hidden="1" outlineLevel="2" x14ac:dyDescent="0.3">
      <c r="A99" s="27"/>
      <c r="B99" s="11" t="str">
        <f>CONCATENATE("          ", "6004", " - ", "STAFF HOURLY")</f>
        <v xml:space="preserve">          6004 - STAFF HOURLY</v>
      </c>
      <c r="C99" s="11"/>
      <c r="D99" s="7">
        <v>6306.96</v>
      </c>
      <c r="E99" s="2"/>
      <c r="F99" s="6">
        <f t="shared" si="33"/>
        <v>3.4668221313830024E-2</v>
      </c>
      <c r="G99" s="2"/>
      <c r="H99" s="7">
        <v>3770.92</v>
      </c>
      <c r="I99" s="2"/>
      <c r="J99" s="6">
        <f t="shared" si="34"/>
        <v>2.3525260527044383E-2</v>
      </c>
      <c r="K99" s="2"/>
      <c r="L99" s="7">
        <f t="shared" si="35"/>
        <v>2536.04</v>
      </c>
      <c r="M99" s="2"/>
      <c r="N99" s="6">
        <f t="shared" si="36"/>
        <v>0.67252553753460687</v>
      </c>
      <c r="O99" s="11"/>
      <c r="P99" s="7">
        <v>60595.14</v>
      </c>
      <c r="Q99" s="2"/>
      <c r="R99" s="6">
        <f t="shared" si="37"/>
        <v>2.5845819055909665E-2</v>
      </c>
      <c r="S99" s="2"/>
      <c r="T99" s="7">
        <v>45662.67</v>
      </c>
      <c r="U99" s="2"/>
      <c r="V99" s="6">
        <f t="shared" si="38"/>
        <v>3.7671589688141459E-2</v>
      </c>
      <c r="W99" s="2"/>
      <c r="X99" s="7">
        <f t="shared" si="39"/>
        <v>14932.470000000001</v>
      </c>
      <c r="Y99" s="2"/>
      <c r="Z99" s="6">
        <f t="shared" si="40"/>
        <v>0.32701701411678297</v>
      </c>
    </row>
    <row r="100" spans="1:26" s="24" customFormat="1" hidden="1" outlineLevel="2" x14ac:dyDescent="0.3">
      <c r="A100" s="27"/>
      <c r="B100" s="11" t="str">
        <f>CONCATENATE("          ", "6005", " - ", "TEMPORARY WAGES-HOURLY")</f>
        <v xml:space="preserve">          6005 - TEMPORARY WAGES-HOURLY</v>
      </c>
      <c r="C100" s="11"/>
      <c r="D100" s="7">
        <v>4908.21</v>
      </c>
      <c r="E100" s="2"/>
      <c r="F100" s="6">
        <f t="shared" si="33"/>
        <v>2.6979544905113347E-2</v>
      </c>
      <c r="G100" s="2"/>
      <c r="H100" s="7">
        <v>5750.61</v>
      </c>
      <c r="I100" s="2"/>
      <c r="J100" s="6">
        <f t="shared" si="34"/>
        <v>3.5875754043953913E-2</v>
      </c>
      <c r="K100" s="2"/>
      <c r="L100" s="7">
        <f t="shared" si="35"/>
        <v>-842.39999999999964</v>
      </c>
      <c r="M100" s="2"/>
      <c r="N100" s="6">
        <f t="shared" si="36"/>
        <v>-0.14648880727435867</v>
      </c>
      <c r="O100" s="11"/>
      <c r="P100" s="7">
        <v>25119.67</v>
      </c>
      <c r="Q100" s="2"/>
      <c r="R100" s="6">
        <f t="shared" si="37"/>
        <v>1.0714364973233205E-2</v>
      </c>
      <c r="S100" s="2"/>
      <c r="T100" s="7">
        <v>42655.13</v>
      </c>
      <c r="U100" s="2"/>
      <c r="V100" s="6">
        <f t="shared" si="38"/>
        <v>3.5190376634882135E-2</v>
      </c>
      <c r="W100" s="2"/>
      <c r="X100" s="7">
        <f t="shared" si="39"/>
        <v>-17535.46</v>
      </c>
      <c r="Y100" s="2"/>
      <c r="Z100" s="6">
        <f t="shared" si="40"/>
        <v>-0.41109850093060318</v>
      </c>
    </row>
    <row r="101" spans="1:26" s="24" customFormat="1" hidden="1" outlineLevel="2" x14ac:dyDescent="0.3">
      <c r="A101" s="27"/>
      <c r="B101" s="11" t="str">
        <f>CONCATENATE("          ", "6007", " - ", "STUDENT HOURLY")</f>
        <v xml:space="preserve">          6007 - STUDENT HOURLY</v>
      </c>
      <c r="C101" s="11"/>
      <c r="D101" s="7">
        <v>43939.74</v>
      </c>
      <c r="E101" s="2"/>
      <c r="F101" s="6">
        <f t="shared" si="33"/>
        <v>0.24152882383781563</v>
      </c>
      <c r="G101" s="2"/>
      <c r="H101" s="7">
        <v>11914.53</v>
      </c>
      <c r="I101" s="2"/>
      <c r="J101" s="6">
        <f t="shared" si="34"/>
        <v>7.4329983745952219E-2</v>
      </c>
      <c r="K101" s="2"/>
      <c r="L101" s="7">
        <f t="shared" si="35"/>
        <v>32025.21</v>
      </c>
      <c r="M101" s="2"/>
      <c r="N101" s="6">
        <f t="shared" si="36"/>
        <v>2.6879121543191378</v>
      </c>
      <c r="O101" s="11"/>
      <c r="P101" s="7">
        <v>206209.87</v>
      </c>
      <c r="Q101" s="2"/>
      <c r="R101" s="6">
        <f t="shared" si="37"/>
        <v>8.7955287958120978E-2</v>
      </c>
      <c r="S101" s="2"/>
      <c r="T101" s="7">
        <v>53861.01</v>
      </c>
      <c r="U101" s="2"/>
      <c r="V101" s="6">
        <f t="shared" si="38"/>
        <v>4.4435199888856351E-2</v>
      </c>
      <c r="W101" s="2"/>
      <c r="X101" s="7">
        <f t="shared" si="39"/>
        <v>152348.85999999999</v>
      </c>
      <c r="Y101" s="2"/>
      <c r="Z101" s="6">
        <f t="shared" si="40"/>
        <v>2.8285555729459952</v>
      </c>
    </row>
    <row r="102" spans="1:26" s="24" customFormat="1" hidden="1" outlineLevel="2" x14ac:dyDescent="0.3">
      <c r="A102" s="27"/>
      <c r="B102" s="11" t="str">
        <f>CONCATENATE("          ", "6008", " - ", "STUDENT HOURLY-FICA EXEMPT")</f>
        <v xml:space="preserve">          6008 - STUDENT HOURLY-FICA EXEMPT</v>
      </c>
      <c r="C102" s="11"/>
      <c r="D102" s="7">
        <v>4635.6400000000003</v>
      </c>
      <c r="E102" s="2"/>
      <c r="F102" s="6">
        <f t="shared" si="33"/>
        <v>2.5481276788063192E-2</v>
      </c>
      <c r="G102" s="2"/>
      <c r="H102" s="7">
        <v>562.52</v>
      </c>
      <c r="I102" s="2"/>
      <c r="J102" s="6">
        <f t="shared" si="34"/>
        <v>3.5093371250710719E-3</v>
      </c>
      <c r="K102" s="2"/>
      <c r="L102" s="7">
        <f t="shared" si="35"/>
        <v>4073.1200000000003</v>
      </c>
      <c r="M102" s="2"/>
      <c r="N102" s="6">
        <f t="shared" si="36"/>
        <v>7.2408447699637355</v>
      </c>
      <c r="O102" s="11"/>
      <c r="P102" s="7">
        <v>47350.27</v>
      </c>
      <c r="Q102" s="2"/>
      <c r="R102" s="6">
        <f t="shared" si="37"/>
        <v>2.0196446623746849E-2</v>
      </c>
      <c r="S102" s="2"/>
      <c r="T102" s="7">
        <v>5492.97</v>
      </c>
      <c r="U102" s="2"/>
      <c r="V102" s="6">
        <f t="shared" si="38"/>
        <v>4.5316866492754451E-3</v>
      </c>
      <c r="W102" s="2"/>
      <c r="X102" s="7">
        <f t="shared" si="39"/>
        <v>41857.299999999996</v>
      </c>
      <c r="Y102" s="2"/>
      <c r="Z102" s="6">
        <f t="shared" si="40"/>
        <v>7.6201581293908385</v>
      </c>
    </row>
    <row r="103" spans="1:26" s="29" customFormat="1" outlineLevel="1" collapsed="1" x14ac:dyDescent="0.3">
      <c r="A103" s="28"/>
      <c r="B103" s="14" t="str">
        <f>CONCATENATE("     ","Advertising/Promo                                 ")</f>
        <v xml:space="preserve">     Advertising/Promo                                 </v>
      </c>
      <c r="C103" s="14"/>
      <c r="D103" s="1">
        <f>SUM(OSRRefD22_2x_0)</f>
        <v>1204.52</v>
      </c>
      <c r="E103" s="1"/>
      <c r="F103" s="5">
        <f t="shared" ref="F103:F111" si="41">IF(D$12=0,0,D103/D$12)</f>
        <v>6.6210291387506087E-3</v>
      </c>
      <c r="G103" s="1"/>
      <c r="H103" s="1">
        <f>SUM(OSRRefH22_2x_0)</f>
        <v>637.52</v>
      </c>
      <c r="I103" s="1"/>
      <c r="J103" s="5">
        <f t="shared" ref="J103:J111" si="42">IF(H$12=0,0,H103/H$12)</f>
        <v>3.9772321054812442E-3</v>
      </c>
      <c r="K103" s="1"/>
      <c r="L103" s="1">
        <f t="shared" ref="L103:L111" si="43">+D103-H103</f>
        <v>567</v>
      </c>
      <c r="M103" s="1"/>
      <c r="N103" s="5">
        <f t="shared" ref="N103:N111" si="44">IF(H103=0,0,L103/H103)</f>
        <v>0.88938386246705992</v>
      </c>
      <c r="O103" s="14"/>
      <c r="P103" s="1">
        <f>SUM(OSRRefP22_2x_0)</f>
        <v>5704.51</v>
      </c>
      <c r="Q103" s="1"/>
      <c r="R103" s="5">
        <f t="shared" ref="R103:R111" si="45">IF(P$12=0,0,P103/P$12)</f>
        <v>2.4331610301193667E-3</v>
      </c>
      <c r="S103" s="1"/>
      <c r="T103" s="1">
        <f>SUM(OSRRefT22_2x_0)</f>
        <v>13809.59</v>
      </c>
      <c r="U103" s="1"/>
      <c r="V103" s="5">
        <f t="shared" ref="V103:V111" si="46">IF(T$12=0,0,T103/T$12)</f>
        <v>1.1392877557126235E-2</v>
      </c>
      <c r="W103" s="1"/>
      <c r="X103" s="1">
        <f t="shared" ref="X103:X111" si="47">+P103-T103</f>
        <v>-8105.08</v>
      </c>
      <c r="Y103" s="1"/>
      <c r="Z103" s="5">
        <f t="shared" ref="Z103:Z111" si="48">IF(T103=0,0,X103/T103)</f>
        <v>-0.58691677305408774</v>
      </c>
    </row>
    <row r="104" spans="1:26" s="24" customFormat="1" hidden="1" outlineLevel="2" x14ac:dyDescent="0.3">
      <c r="A104" s="27"/>
      <c r="B104" s="11" t="str">
        <f>CONCATENATE("          ", "6362", " - ", "ADVERTISING EXPENSE")</f>
        <v xml:space="preserve">          6362 - ADVERTISING EXPENSE</v>
      </c>
      <c r="C104" s="11"/>
      <c r="D104" s="7">
        <v>1204.52</v>
      </c>
      <c r="E104" s="2"/>
      <c r="F104" s="6">
        <f t="shared" si="41"/>
        <v>6.6210291387506087E-3</v>
      </c>
      <c r="G104" s="2"/>
      <c r="H104" s="7">
        <v>637.52</v>
      </c>
      <c r="I104" s="2"/>
      <c r="J104" s="6">
        <f t="shared" si="42"/>
        <v>3.9772321054812442E-3</v>
      </c>
      <c r="K104" s="2"/>
      <c r="L104" s="7">
        <f t="shared" si="43"/>
        <v>567</v>
      </c>
      <c r="M104" s="2"/>
      <c r="N104" s="6">
        <f t="shared" si="44"/>
        <v>0.88938386246705992</v>
      </c>
      <c r="O104" s="11"/>
      <c r="P104" s="7">
        <v>5704.51</v>
      </c>
      <c r="Q104" s="2"/>
      <c r="R104" s="6">
        <f t="shared" si="45"/>
        <v>2.4331610301193667E-3</v>
      </c>
      <c r="S104" s="2"/>
      <c r="T104" s="7">
        <v>13809.59</v>
      </c>
      <c r="U104" s="2"/>
      <c r="V104" s="6">
        <f t="shared" si="46"/>
        <v>1.1392877557126235E-2</v>
      </c>
      <c r="W104" s="2"/>
      <c r="X104" s="7">
        <f t="shared" si="47"/>
        <v>-8105.08</v>
      </c>
      <c r="Y104" s="2"/>
      <c r="Z104" s="6">
        <f t="shared" si="48"/>
        <v>-0.58691677305408774</v>
      </c>
    </row>
    <row r="105" spans="1:26" s="29" customFormat="1" outlineLevel="1" collapsed="1" x14ac:dyDescent="0.3">
      <c r="A105" s="28"/>
      <c r="B105" s="14" t="str">
        <f>CONCATENATE("     ","Bad Debts/Over/Short                              ")</f>
        <v xml:space="preserve">     Bad Debts/Over/Short                              </v>
      </c>
      <c r="C105" s="14"/>
      <c r="D105" s="1">
        <f>SUM(OSRRefD22_3x_0)</f>
        <v>-8.1999999999999993</v>
      </c>
      <c r="E105" s="1"/>
      <c r="F105" s="5">
        <f t="shared" si="41"/>
        <v>-4.507392068023361E-5</v>
      </c>
      <c r="G105" s="1"/>
      <c r="H105" s="1">
        <f>SUM(OSRRefH22_3x_0)</f>
        <v>-0.41</v>
      </c>
      <c r="I105" s="1"/>
      <c r="J105" s="5">
        <f t="shared" si="42"/>
        <v>-2.5578258929089445E-6</v>
      </c>
      <c r="K105" s="1"/>
      <c r="L105" s="1">
        <f t="shared" si="43"/>
        <v>-7.7899999999999991</v>
      </c>
      <c r="M105" s="1"/>
      <c r="N105" s="5">
        <f t="shared" si="44"/>
        <v>19</v>
      </c>
      <c r="O105" s="14"/>
      <c r="P105" s="1">
        <f>SUM(OSRRefP22_3x_0)</f>
        <v>-21.68</v>
      </c>
      <c r="Q105" s="1"/>
      <c r="R105" s="5">
        <f t="shared" si="45"/>
        <v>-9.2472326515314845E-6</v>
      </c>
      <c r="S105" s="1"/>
      <c r="T105" s="1">
        <f>SUM(OSRRefT22_3x_0)</f>
        <v>-0.7</v>
      </c>
      <c r="U105" s="1"/>
      <c r="V105" s="5">
        <f t="shared" si="46"/>
        <v>-5.77498266783327E-7</v>
      </c>
      <c r="W105" s="1"/>
      <c r="X105" s="1">
        <f t="shared" si="47"/>
        <v>-20.98</v>
      </c>
      <c r="Y105" s="1"/>
      <c r="Z105" s="5">
        <f t="shared" si="48"/>
        <v>29.971428571428575</v>
      </c>
    </row>
    <row r="106" spans="1:26" s="24" customFormat="1" hidden="1" outlineLevel="2" x14ac:dyDescent="0.3">
      <c r="A106" s="27"/>
      <c r="B106" s="11" t="str">
        <f>CONCATENATE("          ", "6272", " - ", "CASH (OVER/SHORT)")</f>
        <v xml:space="preserve">          6272 - CASH (OVER/SHORT)</v>
      </c>
      <c r="C106" s="11"/>
      <c r="D106" s="7">
        <v>-8.1999999999999993</v>
      </c>
      <c r="E106" s="2"/>
      <c r="F106" s="6">
        <f t="shared" si="41"/>
        <v>-4.507392068023361E-5</v>
      </c>
      <c r="G106" s="2"/>
      <c r="H106" s="7">
        <v>-0.41</v>
      </c>
      <c r="I106" s="2"/>
      <c r="J106" s="6">
        <f t="shared" si="42"/>
        <v>-2.5578258929089445E-6</v>
      </c>
      <c r="K106" s="2"/>
      <c r="L106" s="7">
        <f t="shared" si="43"/>
        <v>-7.7899999999999991</v>
      </c>
      <c r="M106" s="2"/>
      <c r="N106" s="6">
        <f t="shared" si="44"/>
        <v>19</v>
      </c>
      <c r="O106" s="11"/>
      <c r="P106" s="7">
        <v>-21.68</v>
      </c>
      <c r="Q106" s="2"/>
      <c r="R106" s="6">
        <f t="shared" si="45"/>
        <v>-9.2472326515314845E-6</v>
      </c>
      <c r="S106" s="2"/>
      <c r="T106" s="7">
        <v>-0.7</v>
      </c>
      <c r="U106" s="2"/>
      <c r="V106" s="6">
        <f t="shared" si="46"/>
        <v>-5.77498266783327E-7</v>
      </c>
      <c r="W106" s="2"/>
      <c r="X106" s="7">
        <f t="shared" si="47"/>
        <v>-20.98</v>
      </c>
      <c r="Y106" s="2"/>
      <c r="Z106" s="6">
        <f t="shared" si="48"/>
        <v>29.971428571428575</v>
      </c>
    </row>
    <row r="107" spans="1:26" s="29" customFormat="1" outlineLevel="1" collapsed="1" x14ac:dyDescent="0.3">
      <c r="A107" s="28"/>
      <c r="B107" s="14" t="str">
        <f>CONCATENATE("     ","Bank/card Fees                                    ")</f>
        <v xml:space="preserve">     Bank/card Fees                                    </v>
      </c>
      <c r="C107" s="14"/>
      <c r="D107" s="1">
        <f>SUM(OSRRefD22_4x_0)</f>
        <v>339.5</v>
      </c>
      <c r="E107" s="1"/>
      <c r="F107" s="5">
        <f t="shared" si="41"/>
        <v>1.8661702525535747E-3</v>
      </c>
      <c r="G107" s="1"/>
      <c r="H107" s="1">
        <f>SUM(OSRRefH22_4x_0)</f>
        <v>244.74</v>
      </c>
      <c r="I107" s="1"/>
      <c r="J107" s="5">
        <f t="shared" si="42"/>
        <v>1.5268349000744758E-3</v>
      </c>
      <c r="K107" s="1"/>
      <c r="L107" s="1">
        <f t="shared" si="43"/>
        <v>94.759999999999991</v>
      </c>
      <c r="M107" s="1"/>
      <c r="N107" s="5">
        <f t="shared" si="44"/>
        <v>0.38718640189588949</v>
      </c>
      <c r="O107" s="14"/>
      <c r="P107" s="1">
        <f>SUM(OSRRefP22_4x_0)</f>
        <v>3814.08</v>
      </c>
      <c r="Q107" s="1"/>
      <c r="R107" s="5">
        <f t="shared" si="45"/>
        <v>1.6268304940753322E-3</v>
      </c>
      <c r="S107" s="1"/>
      <c r="T107" s="1">
        <f>SUM(OSRRefT22_4x_0)</f>
        <v>2559.0100000000002</v>
      </c>
      <c r="U107" s="1"/>
      <c r="V107" s="5">
        <f t="shared" si="46"/>
        <v>2.1111769138302881E-3</v>
      </c>
      <c r="W107" s="1"/>
      <c r="X107" s="1">
        <f t="shared" si="47"/>
        <v>1255.0699999999997</v>
      </c>
      <c r="Y107" s="1"/>
      <c r="Z107" s="5">
        <f t="shared" si="48"/>
        <v>0.49045138549673489</v>
      </c>
    </row>
    <row r="108" spans="1:26" s="24" customFormat="1" hidden="1" outlineLevel="2" x14ac:dyDescent="0.3">
      <c r="A108" s="27"/>
      <c r="B108" s="11" t="str">
        <f>CONCATENATE("          ", "6381", " - ", "BANK/CREDIT CARD FEES")</f>
        <v xml:space="preserve">          6381 - BANK/CREDIT CARD FEES</v>
      </c>
      <c r="C108" s="11"/>
      <c r="D108" s="7">
        <v>339.5</v>
      </c>
      <c r="E108" s="2"/>
      <c r="F108" s="6">
        <f t="shared" si="41"/>
        <v>1.8661702525535747E-3</v>
      </c>
      <c r="G108" s="2"/>
      <c r="H108" s="7">
        <v>244.74</v>
      </c>
      <c r="I108" s="2"/>
      <c r="J108" s="6">
        <f t="shared" si="42"/>
        <v>1.5268349000744758E-3</v>
      </c>
      <c r="K108" s="2"/>
      <c r="L108" s="7">
        <f t="shared" si="43"/>
        <v>94.759999999999991</v>
      </c>
      <c r="M108" s="2"/>
      <c r="N108" s="6">
        <f t="shared" si="44"/>
        <v>0.38718640189588949</v>
      </c>
      <c r="O108" s="11"/>
      <c r="P108" s="7">
        <v>3814.08</v>
      </c>
      <c r="Q108" s="2"/>
      <c r="R108" s="6">
        <f t="shared" si="45"/>
        <v>1.6268304940753322E-3</v>
      </c>
      <c r="S108" s="2"/>
      <c r="T108" s="7">
        <v>2559.0100000000002</v>
      </c>
      <c r="U108" s="2"/>
      <c r="V108" s="6">
        <f t="shared" si="46"/>
        <v>2.1111769138302881E-3</v>
      </c>
      <c r="W108" s="2"/>
      <c r="X108" s="7">
        <f t="shared" si="47"/>
        <v>1255.0699999999997</v>
      </c>
      <c r="Y108" s="2"/>
      <c r="Z108" s="6">
        <f t="shared" si="48"/>
        <v>0.49045138549673489</v>
      </c>
    </row>
    <row r="109" spans="1:26" s="29" customFormat="1" outlineLevel="1" collapsed="1" x14ac:dyDescent="0.3">
      <c r="A109" s="28"/>
      <c r="B109" s="14" t="str">
        <f>CONCATENATE("     ","Discounts and Markdowns                           ")</f>
        <v xml:space="preserve">     Discounts and Markdowns                           </v>
      </c>
      <c r="C109" s="14"/>
      <c r="D109" s="1">
        <f>SUM(OSRRefD22_5x_0)</f>
        <v>27.91</v>
      </c>
      <c r="E109" s="1"/>
      <c r="F109" s="5">
        <f t="shared" si="41"/>
        <v>1.5341623490064881E-4</v>
      </c>
      <c r="G109" s="1"/>
      <c r="H109" s="1">
        <f>SUM(OSRRefH22_5x_0)</f>
        <v>0</v>
      </c>
      <c r="I109" s="1"/>
      <c r="J109" s="5">
        <f t="shared" si="42"/>
        <v>0</v>
      </c>
      <c r="K109" s="1"/>
      <c r="L109" s="1">
        <f t="shared" si="43"/>
        <v>27.91</v>
      </c>
      <c r="M109" s="1"/>
      <c r="N109" s="5">
        <f t="shared" si="44"/>
        <v>0</v>
      </c>
      <c r="O109" s="14"/>
      <c r="P109" s="1">
        <f>SUM(OSRRefP22_5x_0)</f>
        <v>-0.98</v>
      </c>
      <c r="Q109" s="1"/>
      <c r="R109" s="5">
        <f t="shared" si="45"/>
        <v>-4.1800221395299147E-7</v>
      </c>
      <c r="S109" s="1"/>
      <c r="T109" s="1">
        <f>SUM(OSRRefT22_5x_0)</f>
        <v>0</v>
      </c>
      <c r="U109" s="1"/>
      <c r="V109" s="5">
        <f t="shared" si="46"/>
        <v>0</v>
      </c>
      <c r="W109" s="1"/>
      <c r="X109" s="1">
        <f t="shared" si="47"/>
        <v>-0.98</v>
      </c>
      <c r="Y109" s="1"/>
      <c r="Z109" s="5">
        <f t="shared" si="48"/>
        <v>0</v>
      </c>
    </row>
    <row r="110" spans="1:26" s="24" customFormat="1" hidden="1" outlineLevel="2" x14ac:dyDescent="0.3">
      <c r="A110" s="27"/>
      <c r="B110" s="11" t="str">
        <f>CONCATENATE("          ", "6382", " - ", "DISCOUNTS/MARK DOWNS")</f>
        <v xml:space="preserve">          6382 - DISCOUNTS/MARK DOWNS</v>
      </c>
      <c r="C110" s="11"/>
      <c r="D110" s="7"/>
      <c r="E110" s="2"/>
      <c r="F110" s="6">
        <f t="shared" si="41"/>
        <v>0</v>
      </c>
      <c r="G110" s="2"/>
      <c r="H110" s="7">
        <v>0</v>
      </c>
      <c r="I110" s="2"/>
      <c r="J110" s="6">
        <f t="shared" si="42"/>
        <v>0</v>
      </c>
      <c r="K110" s="2"/>
      <c r="L110" s="7">
        <f t="shared" si="43"/>
        <v>0</v>
      </c>
      <c r="M110" s="2"/>
      <c r="N110" s="6">
        <f t="shared" si="44"/>
        <v>0</v>
      </c>
      <c r="O110" s="11"/>
      <c r="P110" s="7"/>
      <c r="Q110" s="2"/>
      <c r="R110" s="6">
        <f t="shared" si="45"/>
        <v>0</v>
      </c>
      <c r="S110" s="2"/>
      <c r="T110" s="7">
        <v>0</v>
      </c>
      <c r="U110" s="2"/>
      <c r="V110" s="6">
        <f t="shared" si="46"/>
        <v>0</v>
      </c>
      <c r="W110" s="2"/>
      <c r="X110" s="7">
        <f t="shared" si="47"/>
        <v>0</v>
      </c>
      <c r="Y110" s="2"/>
      <c r="Z110" s="6">
        <f t="shared" si="48"/>
        <v>0</v>
      </c>
    </row>
    <row r="111" spans="1:26" s="24" customFormat="1" hidden="1" outlineLevel="2" x14ac:dyDescent="0.3">
      <c r="A111" s="27"/>
      <c r="B111" s="11" t="str">
        <f>CONCATENATE("          ", "9175", " - ", "EARNED DISCOUNTS")</f>
        <v xml:space="preserve">          9175 - EARNED DISCOUNTS</v>
      </c>
      <c r="C111" s="11"/>
      <c r="D111" s="7">
        <v>27.91</v>
      </c>
      <c r="E111" s="2"/>
      <c r="F111" s="6">
        <f t="shared" si="41"/>
        <v>1.5341623490064881E-4</v>
      </c>
      <c r="G111" s="2"/>
      <c r="H111" s="7"/>
      <c r="I111" s="2"/>
      <c r="J111" s="6">
        <f t="shared" si="42"/>
        <v>0</v>
      </c>
      <c r="K111" s="2"/>
      <c r="L111" s="7">
        <f t="shared" si="43"/>
        <v>27.91</v>
      </c>
      <c r="M111" s="2"/>
      <c r="N111" s="6">
        <f t="shared" si="44"/>
        <v>0</v>
      </c>
      <c r="O111" s="11"/>
      <c r="P111" s="7">
        <v>-0.98</v>
      </c>
      <c r="Q111" s="2"/>
      <c r="R111" s="6">
        <f t="shared" si="45"/>
        <v>-4.1800221395299147E-7</v>
      </c>
      <c r="S111" s="2"/>
      <c r="T111" s="7">
        <v>0</v>
      </c>
      <c r="U111" s="2"/>
      <c r="V111" s="6">
        <f t="shared" si="46"/>
        <v>0</v>
      </c>
      <c r="W111" s="2"/>
      <c r="X111" s="7">
        <f t="shared" si="47"/>
        <v>-0.98</v>
      </c>
      <c r="Y111" s="2"/>
      <c r="Z111" s="6">
        <f t="shared" si="48"/>
        <v>0</v>
      </c>
    </row>
    <row r="112" spans="1:26" s="29" customFormat="1" outlineLevel="1" collapsed="1" x14ac:dyDescent="0.3">
      <c r="A112" s="28"/>
      <c r="B112" s="14" t="str">
        <f>CONCATENATE("     ","Employees' Appreciation                           ")</f>
        <v xml:space="preserve">     Employees' Appreciation                           </v>
      </c>
      <c r="C112" s="14"/>
      <c r="D112" s="1">
        <f>SUM(OSRRefD22_6x_0)</f>
        <v>0</v>
      </c>
      <c r="E112" s="1"/>
      <c r="F112" s="5">
        <f t="shared" ref="F112:F118" si="49">IF(D$12=0,0,D112/D$12)</f>
        <v>0</v>
      </c>
      <c r="G112" s="1"/>
      <c r="H112" s="1">
        <f>SUM(OSRRefH22_6x_0)</f>
        <v>0</v>
      </c>
      <c r="I112" s="1"/>
      <c r="J112" s="5">
        <f t="shared" ref="J112:J118" si="50">IF(H$12=0,0,H112/H$12)</f>
        <v>0</v>
      </c>
      <c r="K112" s="1"/>
      <c r="L112" s="1">
        <f t="shared" ref="L112:L118" si="51">+D112-H112</f>
        <v>0</v>
      </c>
      <c r="M112" s="1"/>
      <c r="N112" s="5">
        <f t="shared" ref="N112:N118" si="52">IF(H112=0,0,L112/H112)</f>
        <v>0</v>
      </c>
      <c r="O112" s="14"/>
      <c r="P112" s="1">
        <f>SUM(OSRRefP22_6x_0)</f>
        <v>216.44</v>
      </c>
      <c r="Q112" s="1"/>
      <c r="R112" s="5">
        <f t="shared" ref="R112:R118" si="53">IF(P$12=0,0,P112/P$12)</f>
        <v>9.2318774681617824E-5</v>
      </c>
      <c r="S112" s="1"/>
      <c r="T112" s="1">
        <f>SUM(OSRRefT22_6x_0)</f>
        <v>0</v>
      </c>
      <c r="U112" s="1"/>
      <c r="V112" s="5">
        <f t="shared" ref="V112:V118" si="54">IF(T$12=0,0,T112/T$12)</f>
        <v>0</v>
      </c>
      <c r="W112" s="1"/>
      <c r="X112" s="1">
        <f t="shared" ref="X112:X118" si="55">+P112-T112</f>
        <v>216.44</v>
      </c>
      <c r="Y112" s="1"/>
      <c r="Z112" s="5">
        <f t="shared" ref="Z112:Z118" si="56">IF(T112=0,0,X112/T112)</f>
        <v>0</v>
      </c>
    </row>
    <row r="113" spans="1:26" s="24" customFormat="1" hidden="1" outlineLevel="2" x14ac:dyDescent="0.3">
      <c r="A113" s="27"/>
      <c r="B113" s="11" t="str">
        <f>CONCATENATE("          ", "6277", " - ", "EMPLOYEE APPRECIATION")</f>
        <v xml:space="preserve">          6277 - EMPLOYEE APPRECIATION</v>
      </c>
      <c r="C113" s="11"/>
      <c r="D113" s="7"/>
      <c r="E113" s="2"/>
      <c r="F113" s="6">
        <f t="shared" si="49"/>
        <v>0</v>
      </c>
      <c r="G113" s="2"/>
      <c r="H113" s="7"/>
      <c r="I113" s="2"/>
      <c r="J113" s="6">
        <f t="shared" si="50"/>
        <v>0</v>
      </c>
      <c r="K113" s="2"/>
      <c r="L113" s="7">
        <f t="shared" si="51"/>
        <v>0</v>
      </c>
      <c r="M113" s="2"/>
      <c r="N113" s="6">
        <f t="shared" si="52"/>
        <v>0</v>
      </c>
      <c r="O113" s="11"/>
      <c r="P113" s="7">
        <v>216.44</v>
      </c>
      <c r="Q113" s="2"/>
      <c r="R113" s="6">
        <f t="shared" si="53"/>
        <v>9.2318774681617824E-5</v>
      </c>
      <c r="S113" s="2"/>
      <c r="T113" s="7"/>
      <c r="U113" s="2"/>
      <c r="V113" s="6">
        <f t="shared" si="54"/>
        <v>0</v>
      </c>
      <c r="W113" s="2"/>
      <c r="X113" s="7">
        <f t="shared" si="55"/>
        <v>216.44</v>
      </c>
      <c r="Y113" s="2"/>
      <c r="Z113" s="6">
        <f t="shared" si="56"/>
        <v>0</v>
      </c>
    </row>
    <row r="114" spans="1:26" s="29" customFormat="1" outlineLevel="1" collapsed="1" x14ac:dyDescent="0.3">
      <c r="A114" s="28"/>
      <c r="B114" s="14" t="str">
        <f>CONCATENATE("     ","Equipment Rental                                  ")</f>
        <v xml:space="preserve">     Equipment Rental                                  </v>
      </c>
      <c r="C114" s="14"/>
      <c r="D114" s="1">
        <f>SUM(OSRRefD22_7x_0)</f>
        <v>0</v>
      </c>
      <c r="E114" s="1"/>
      <c r="F114" s="5">
        <f t="shared" si="49"/>
        <v>0</v>
      </c>
      <c r="G114" s="1"/>
      <c r="H114" s="1">
        <f>SUM(OSRRefH22_7x_0)</f>
        <v>0</v>
      </c>
      <c r="I114" s="1"/>
      <c r="J114" s="5">
        <f t="shared" si="50"/>
        <v>0</v>
      </c>
      <c r="K114" s="1"/>
      <c r="L114" s="1">
        <f t="shared" si="51"/>
        <v>0</v>
      </c>
      <c r="M114" s="1"/>
      <c r="N114" s="5">
        <f t="shared" si="52"/>
        <v>0</v>
      </c>
      <c r="O114" s="14"/>
      <c r="P114" s="1">
        <f>SUM(OSRRefP22_7x_0)</f>
        <v>118.91</v>
      </c>
      <c r="Q114" s="1"/>
      <c r="R114" s="5">
        <f t="shared" si="53"/>
        <v>5.0719023735867567E-5</v>
      </c>
      <c r="S114" s="1"/>
      <c r="T114" s="1">
        <f>SUM(OSRRefT22_7x_0)</f>
        <v>0</v>
      </c>
      <c r="U114" s="1"/>
      <c r="V114" s="5">
        <f t="shared" si="54"/>
        <v>0</v>
      </c>
      <c r="W114" s="1"/>
      <c r="X114" s="1">
        <f t="shared" si="55"/>
        <v>118.91</v>
      </c>
      <c r="Y114" s="1"/>
      <c r="Z114" s="5">
        <f t="shared" si="56"/>
        <v>0</v>
      </c>
    </row>
    <row r="115" spans="1:26" s="24" customFormat="1" hidden="1" outlineLevel="2" x14ac:dyDescent="0.3">
      <c r="A115" s="27"/>
      <c r="B115" s="11" t="str">
        <f>CONCATENATE("          ", "6351", " - ", "EQUIPMENT RENTAL")</f>
        <v xml:space="preserve">          6351 - EQUIPMENT RENTAL</v>
      </c>
      <c r="C115" s="11"/>
      <c r="D115" s="7"/>
      <c r="E115" s="2"/>
      <c r="F115" s="6">
        <f t="shared" si="49"/>
        <v>0</v>
      </c>
      <c r="G115" s="2"/>
      <c r="H115" s="7"/>
      <c r="I115" s="2"/>
      <c r="J115" s="6">
        <f t="shared" si="50"/>
        <v>0</v>
      </c>
      <c r="K115" s="2"/>
      <c r="L115" s="7">
        <f t="shared" si="51"/>
        <v>0</v>
      </c>
      <c r="M115" s="2"/>
      <c r="N115" s="6">
        <f t="shared" si="52"/>
        <v>0</v>
      </c>
      <c r="O115" s="11"/>
      <c r="P115" s="7">
        <v>118.91</v>
      </c>
      <c r="Q115" s="2"/>
      <c r="R115" s="6">
        <f t="shared" si="53"/>
        <v>5.0719023735867567E-5</v>
      </c>
      <c r="S115" s="2"/>
      <c r="T115" s="7"/>
      <c r="U115" s="2"/>
      <c r="V115" s="6">
        <f t="shared" si="54"/>
        <v>0</v>
      </c>
      <c r="W115" s="2"/>
      <c r="X115" s="7">
        <f t="shared" si="55"/>
        <v>118.91</v>
      </c>
      <c r="Y115" s="2"/>
      <c r="Z115" s="6">
        <f t="shared" si="56"/>
        <v>0</v>
      </c>
    </row>
    <row r="116" spans="1:26" s="29" customFormat="1" outlineLevel="1" collapsed="1" x14ac:dyDescent="0.3">
      <c r="A116" s="28"/>
      <c r="B116" s="14" t="str">
        <f>CONCATENATE("     ","Freight out/Postage                               ")</f>
        <v xml:space="preserve">     Freight out/Postage                               </v>
      </c>
      <c r="C116" s="14"/>
      <c r="D116" s="1">
        <f>SUM(OSRRefD22_8x_0)</f>
        <v>0</v>
      </c>
      <c r="E116" s="1"/>
      <c r="F116" s="5">
        <f t="shared" si="49"/>
        <v>0</v>
      </c>
      <c r="G116" s="1"/>
      <c r="H116" s="1">
        <f>SUM(OSRRefH22_8x_0)</f>
        <v>127.18</v>
      </c>
      <c r="I116" s="1"/>
      <c r="J116" s="5">
        <f t="shared" si="50"/>
        <v>7.9342511478087702E-4</v>
      </c>
      <c r="K116" s="1"/>
      <c r="L116" s="1">
        <f t="shared" si="51"/>
        <v>-127.18</v>
      </c>
      <c r="M116" s="1"/>
      <c r="N116" s="5">
        <f t="shared" si="52"/>
        <v>-1</v>
      </c>
      <c r="O116" s="14"/>
      <c r="P116" s="1">
        <f>SUM(OSRRefP22_8x_0)</f>
        <v>983.79</v>
      </c>
      <c r="Q116" s="1"/>
      <c r="R116" s="5">
        <f t="shared" si="53"/>
        <v>4.196187735355239E-4</v>
      </c>
      <c r="S116" s="1"/>
      <c r="T116" s="1">
        <f>SUM(OSRRefT22_8x_0)</f>
        <v>234.42</v>
      </c>
      <c r="U116" s="1"/>
      <c r="V116" s="5">
        <f t="shared" si="54"/>
        <v>1.9339591957049645E-4</v>
      </c>
      <c r="W116" s="1"/>
      <c r="X116" s="1">
        <f t="shared" si="55"/>
        <v>749.37</v>
      </c>
      <c r="Y116" s="1"/>
      <c r="Z116" s="5">
        <f t="shared" si="56"/>
        <v>3.1966982339390837</v>
      </c>
    </row>
    <row r="117" spans="1:26" s="24" customFormat="1" hidden="1" outlineLevel="2" x14ac:dyDescent="0.3">
      <c r="A117" s="27"/>
      <c r="B117" s="11" t="str">
        <f>CONCATENATE("          ", "6305", " - ", "FREIGHT OUT")</f>
        <v xml:space="preserve">          6305 - FREIGHT OUT</v>
      </c>
      <c r="C117" s="11"/>
      <c r="D117" s="7"/>
      <c r="E117" s="2"/>
      <c r="F117" s="6">
        <f t="shared" si="49"/>
        <v>0</v>
      </c>
      <c r="G117" s="2"/>
      <c r="H117" s="7">
        <v>127.18</v>
      </c>
      <c r="I117" s="2"/>
      <c r="J117" s="6">
        <f t="shared" si="50"/>
        <v>7.9342511478087702E-4</v>
      </c>
      <c r="K117" s="2"/>
      <c r="L117" s="7">
        <f t="shared" si="51"/>
        <v>-127.18</v>
      </c>
      <c r="M117" s="2"/>
      <c r="N117" s="6">
        <f t="shared" si="52"/>
        <v>-1</v>
      </c>
      <c r="O117" s="11"/>
      <c r="P117" s="7">
        <v>893.87</v>
      </c>
      <c r="Q117" s="2"/>
      <c r="R117" s="6">
        <f t="shared" si="53"/>
        <v>3.8126493774098006E-4</v>
      </c>
      <c r="S117" s="2"/>
      <c r="T117" s="7">
        <v>240.42</v>
      </c>
      <c r="U117" s="2"/>
      <c r="V117" s="6">
        <f t="shared" si="54"/>
        <v>1.9834590471435354E-4</v>
      </c>
      <c r="W117" s="2"/>
      <c r="X117" s="7">
        <f t="shared" si="55"/>
        <v>653.45000000000005</v>
      </c>
      <c r="Y117" s="2"/>
      <c r="Z117" s="6">
        <f t="shared" si="56"/>
        <v>2.7179519174777478</v>
      </c>
    </row>
    <row r="118" spans="1:26" s="24" customFormat="1" hidden="1" outlineLevel="2" x14ac:dyDescent="0.3">
      <c r="A118" s="27"/>
      <c r="B118" s="11" t="str">
        <f>CONCATENATE("          ", "6307", " - ", "POSTAGE")</f>
        <v xml:space="preserve">          6307 - POSTAGE</v>
      </c>
      <c r="C118" s="11"/>
      <c r="D118" s="7"/>
      <c r="E118" s="2"/>
      <c r="F118" s="6">
        <f t="shared" si="49"/>
        <v>0</v>
      </c>
      <c r="G118" s="2"/>
      <c r="H118" s="7"/>
      <c r="I118" s="2"/>
      <c r="J118" s="6">
        <f t="shared" si="50"/>
        <v>0</v>
      </c>
      <c r="K118" s="2"/>
      <c r="L118" s="7">
        <f t="shared" si="51"/>
        <v>0</v>
      </c>
      <c r="M118" s="2"/>
      <c r="N118" s="6">
        <f t="shared" si="52"/>
        <v>0</v>
      </c>
      <c r="O118" s="11"/>
      <c r="P118" s="7">
        <v>89.92</v>
      </c>
      <c r="Q118" s="2"/>
      <c r="R118" s="6">
        <f t="shared" si="53"/>
        <v>3.8353835794543868E-5</v>
      </c>
      <c r="S118" s="2"/>
      <c r="T118" s="7">
        <v>-6</v>
      </c>
      <c r="U118" s="2"/>
      <c r="V118" s="6">
        <f t="shared" si="54"/>
        <v>-4.9499851438570881E-6</v>
      </c>
      <c r="W118" s="2"/>
      <c r="X118" s="7">
        <f t="shared" si="55"/>
        <v>95.92</v>
      </c>
      <c r="Y118" s="2"/>
      <c r="Z118" s="6">
        <f t="shared" si="56"/>
        <v>-15.986666666666666</v>
      </c>
    </row>
    <row r="119" spans="1:26" s="29" customFormat="1" outlineLevel="1" collapsed="1" x14ac:dyDescent="0.3">
      <c r="A119" s="28"/>
      <c r="B119" s="14" t="str">
        <f>CONCATENATE("     ","General                                           ")</f>
        <v xml:space="preserve">     General                                           </v>
      </c>
      <c r="C119" s="14"/>
      <c r="D119" s="1">
        <f>SUM(OSRRefD22_9x_0)</f>
        <v>0</v>
      </c>
      <c r="E119" s="1"/>
      <c r="F119" s="5">
        <f t="shared" ref="F119:F125" si="57">IF(D$12=0,0,D119/D$12)</f>
        <v>0</v>
      </c>
      <c r="G119" s="1"/>
      <c r="H119" s="1">
        <f>SUM(OSRRefH22_9x_0)</f>
        <v>0</v>
      </c>
      <c r="I119" s="1"/>
      <c r="J119" s="5">
        <f t="shared" ref="J119:J125" si="58">IF(H$12=0,0,H119/H$12)</f>
        <v>0</v>
      </c>
      <c r="K119" s="1"/>
      <c r="L119" s="1">
        <f t="shared" ref="L119:L125" si="59">+D119-H119</f>
        <v>0</v>
      </c>
      <c r="M119" s="1"/>
      <c r="N119" s="5">
        <f t="shared" ref="N119:N125" si="60">IF(H119=0,0,L119/H119)</f>
        <v>0</v>
      </c>
      <c r="O119" s="14"/>
      <c r="P119" s="1">
        <f>SUM(OSRRefP22_9x_0)</f>
        <v>1683.13</v>
      </c>
      <c r="Q119" s="1"/>
      <c r="R119" s="5">
        <f t="shared" ref="R119:R125" si="61">IF(P$12=0,0,P119/P$12)</f>
        <v>7.1791027180683527E-4</v>
      </c>
      <c r="S119" s="1"/>
      <c r="T119" s="1">
        <f>SUM(OSRRefT22_9x_0)</f>
        <v>2165.0100000000002</v>
      </c>
      <c r="U119" s="1"/>
      <c r="V119" s="5">
        <f t="shared" ref="V119:V125" si="62">IF(T$12=0,0,T119/T$12)</f>
        <v>1.7861278893836728E-3</v>
      </c>
      <c r="W119" s="1"/>
      <c r="X119" s="1">
        <f t="shared" ref="X119:X125" si="63">+P119-T119</f>
        <v>-481.88000000000011</v>
      </c>
      <c r="Y119" s="1"/>
      <c r="Z119" s="5">
        <f t="shared" ref="Z119:Z125" si="64">IF(T119=0,0,X119/T119)</f>
        <v>-0.22257633913931116</v>
      </c>
    </row>
    <row r="120" spans="1:26" s="24" customFormat="1" hidden="1" outlineLevel="2" x14ac:dyDescent="0.3">
      <c r="A120" s="27"/>
      <c r="B120" s="11" t="str">
        <f>CONCATENATE("          ", "6279", " - ", "GENERAL EXPENSE")</f>
        <v xml:space="preserve">          6279 - GENERAL EXPENSE</v>
      </c>
      <c r="C120" s="11"/>
      <c r="D120" s="7"/>
      <c r="E120" s="2"/>
      <c r="F120" s="6">
        <f t="shared" si="57"/>
        <v>0</v>
      </c>
      <c r="G120" s="2"/>
      <c r="H120" s="7"/>
      <c r="I120" s="2"/>
      <c r="J120" s="6">
        <f t="shared" si="58"/>
        <v>0</v>
      </c>
      <c r="K120" s="2"/>
      <c r="L120" s="7">
        <f t="shared" si="59"/>
        <v>0</v>
      </c>
      <c r="M120" s="2"/>
      <c r="N120" s="6">
        <f t="shared" si="60"/>
        <v>0</v>
      </c>
      <c r="O120" s="11"/>
      <c r="P120" s="7">
        <v>1683.13</v>
      </c>
      <c r="Q120" s="2"/>
      <c r="R120" s="6">
        <f t="shared" si="61"/>
        <v>7.1791027180683527E-4</v>
      </c>
      <c r="S120" s="2"/>
      <c r="T120" s="7">
        <v>2165.0100000000002</v>
      </c>
      <c r="U120" s="2"/>
      <c r="V120" s="6">
        <f t="shared" si="62"/>
        <v>1.7861278893836728E-3</v>
      </c>
      <c r="W120" s="2"/>
      <c r="X120" s="7">
        <f t="shared" si="63"/>
        <v>-481.88000000000011</v>
      </c>
      <c r="Y120" s="2"/>
      <c r="Z120" s="6">
        <f t="shared" si="64"/>
        <v>-0.22257633913931116</v>
      </c>
    </row>
    <row r="121" spans="1:26" s="29" customFormat="1" outlineLevel="1" collapsed="1" x14ac:dyDescent="0.3">
      <c r="A121" s="28"/>
      <c r="B121" s="14" t="str">
        <f>CONCATENATE("     ","Insurance                                         ")</f>
        <v xml:space="preserve">     Insurance                                         </v>
      </c>
      <c r="C121" s="14"/>
      <c r="D121" s="1">
        <f>SUM(OSRRefD22_10x_0)</f>
        <v>219.08</v>
      </c>
      <c r="E121" s="1"/>
      <c r="F121" s="5">
        <f t="shared" si="57"/>
        <v>1.2042432369055586E-3</v>
      </c>
      <c r="G121" s="1"/>
      <c r="H121" s="1">
        <f>SUM(OSRRefH22_10x_0)</f>
        <v>161.18</v>
      </c>
      <c r="I121" s="1"/>
      <c r="J121" s="5">
        <f t="shared" si="58"/>
        <v>1.0055375059001555E-3</v>
      </c>
      <c r="K121" s="1"/>
      <c r="L121" s="1">
        <f t="shared" si="59"/>
        <v>57.900000000000006</v>
      </c>
      <c r="M121" s="1"/>
      <c r="N121" s="5">
        <f t="shared" si="60"/>
        <v>0.35922571038590395</v>
      </c>
      <c r="O121" s="14"/>
      <c r="P121" s="1">
        <f>SUM(OSRRefP22_10x_0)</f>
        <v>1533.56</v>
      </c>
      <c r="Q121" s="1"/>
      <c r="R121" s="5">
        <f t="shared" si="61"/>
        <v>6.5411375023443827E-4</v>
      </c>
      <c r="S121" s="1"/>
      <c r="T121" s="1">
        <f>SUM(OSRRefT22_10x_0)</f>
        <v>1128.26</v>
      </c>
      <c r="U121" s="1"/>
      <c r="V121" s="5">
        <f t="shared" si="62"/>
        <v>9.3081170640136647E-4</v>
      </c>
      <c r="W121" s="1"/>
      <c r="X121" s="1">
        <f t="shared" si="63"/>
        <v>405.29999999999995</v>
      </c>
      <c r="Y121" s="1"/>
      <c r="Z121" s="5">
        <f t="shared" si="64"/>
        <v>0.3592257103859039</v>
      </c>
    </row>
    <row r="122" spans="1:26" s="24" customFormat="1" hidden="1" outlineLevel="2" x14ac:dyDescent="0.3">
      <c r="A122" s="27"/>
      <c r="B122" s="11" t="str">
        <f>CONCATENATE("          ", "6314", " - ", "LIABILITY INSURANCE")</f>
        <v xml:space="preserve">          6314 - LIABILITY INSURANCE</v>
      </c>
      <c r="C122" s="11"/>
      <c r="D122" s="7">
        <v>219.08</v>
      </c>
      <c r="E122" s="2"/>
      <c r="F122" s="6">
        <f t="shared" si="57"/>
        <v>1.2042432369055586E-3</v>
      </c>
      <c r="G122" s="2"/>
      <c r="H122" s="7">
        <v>161.18</v>
      </c>
      <c r="I122" s="2"/>
      <c r="J122" s="6">
        <f t="shared" si="58"/>
        <v>1.0055375059001555E-3</v>
      </c>
      <c r="K122" s="2"/>
      <c r="L122" s="7">
        <f t="shared" si="59"/>
        <v>57.900000000000006</v>
      </c>
      <c r="M122" s="2"/>
      <c r="N122" s="6">
        <f t="shared" si="60"/>
        <v>0.35922571038590395</v>
      </c>
      <c r="O122" s="11"/>
      <c r="P122" s="7">
        <v>1533.56</v>
      </c>
      <c r="Q122" s="2"/>
      <c r="R122" s="6">
        <f t="shared" si="61"/>
        <v>6.5411375023443827E-4</v>
      </c>
      <c r="S122" s="2"/>
      <c r="T122" s="7">
        <v>1128.26</v>
      </c>
      <c r="U122" s="2"/>
      <c r="V122" s="6">
        <f t="shared" si="62"/>
        <v>9.3081170640136647E-4</v>
      </c>
      <c r="W122" s="2"/>
      <c r="X122" s="7">
        <f t="shared" si="63"/>
        <v>405.29999999999995</v>
      </c>
      <c r="Y122" s="2"/>
      <c r="Z122" s="6">
        <f t="shared" si="64"/>
        <v>0.3592257103859039</v>
      </c>
    </row>
    <row r="123" spans="1:26" s="29" customFormat="1" outlineLevel="1" collapsed="1" x14ac:dyDescent="0.3">
      <c r="A123" s="28"/>
      <c r="B123" s="14" t="str">
        <f>CONCATENATE("     ","Inventory Adjustment                              ")</f>
        <v xml:space="preserve">     Inventory Adjustment                              </v>
      </c>
      <c r="C123" s="14"/>
      <c r="D123" s="1">
        <f>SUM(OSRRefD22_11x_0)</f>
        <v>4100</v>
      </c>
      <c r="E123" s="1"/>
      <c r="F123" s="5">
        <f t="shared" si="57"/>
        <v>2.2536960340116808E-2</v>
      </c>
      <c r="G123" s="1"/>
      <c r="H123" s="1">
        <f>SUM(OSRRefH22_11x_0)</f>
        <v>1100</v>
      </c>
      <c r="I123" s="1"/>
      <c r="J123" s="5">
        <f t="shared" si="58"/>
        <v>6.8624597126825341E-3</v>
      </c>
      <c r="K123" s="1"/>
      <c r="L123" s="1">
        <f t="shared" si="59"/>
        <v>3000</v>
      </c>
      <c r="M123" s="1"/>
      <c r="N123" s="5">
        <f t="shared" si="60"/>
        <v>2.7272727272727271</v>
      </c>
      <c r="O123" s="14"/>
      <c r="P123" s="1">
        <f>SUM(OSRRefP22_11x_0)</f>
        <v>28700</v>
      </c>
      <c r="Q123" s="1"/>
      <c r="R123" s="5">
        <f t="shared" si="61"/>
        <v>1.2241493408623322E-2</v>
      </c>
      <c r="S123" s="1"/>
      <c r="T123" s="1">
        <f>SUM(OSRRefT22_11x_0)</f>
        <v>7700</v>
      </c>
      <c r="U123" s="1"/>
      <c r="V123" s="5">
        <f t="shared" si="62"/>
        <v>6.3524809346165965E-3</v>
      </c>
      <c r="W123" s="1"/>
      <c r="X123" s="1">
        <f t="shared" si="63"/>
        <v>21000</v>
      </c>
      <c r="Y123" s="1"/>
      <c r="Z123" s="5">
        <f t="shared" si="64"/>
        <v>2.7272727272727271</v>
      </c>
    </row>
    <row r="124" spans="1:26" s="24" customFormat="1" hidden="1" outlineLevel="2" x14ac:dyDescent="0.3">
      <c r="A124" s="27"/>
      <c r="B124" s="11" t="str">
        <f>CONCATENATE("          ", "6408", " - ", "INVENTORY ADJUSTMENT")</f>
        <v xml:space="preserve">          6408 - INVENTORY ADJUSTMENT</v>
      </c>
      <c r="C124" s="11"/>
      <c r="D124" s="7">
        <v>4100</v>
      </c>
      <c r="E124" s="2"/>
      <c r="F124" s="6">
        <f t="shared" si="57"/>
        <v>2.2536960340116808E-2</v>
      </c>
      <c r="G124" s="2"/>
      <c r="H124" s="7">
        <v>1100</v>
      </c>
      <c r="I124" s="2"/>
      <c r="J124" s="6">
        <f t="shared" si="58"/>
        <v>6.8624597126825341E-3</v>
      </c>
      <c r="K124" s="2"/>
      <c r="L124" s="7">
        <f t="shared" si="59"/>
        <v>3000</v>
      </c>
      <c r="M124" s="2"/>
      <c r="N124" s="6">
        <f t="shared" si="60"/>
        <v>2.7272727272727271</v>
      </c>
      <c r="O124" s="11"/>
      <c r="P124" s="7">
        <v>28700</v>
      </c>
      <c r="Q124" s="2"/>
      <c r="R124" s="6">
        <f t="shared" si="61"/>
        <v>1.2241493408623322E-2</v>
      </c>
      <c r="S124" s="2"/>
      <c r="T124" s="7">
        <v>7700</v>
      </c>
      <c r="U124" s="2"/>
      <c r="V124" s="6">
        <f t="shared" si="62"/>
        <v>6.3524809346165965E-3</v>
      </c>
      <c r="W124" s="2"/>
      <c r="X124" s="7">
        <f t="shared" si="63"/>
        <v>21000</v>
      </c>
      <c r="Y124" s="2"/>
      <c r="Z124" s="6">
        <f t="shared" si="64"/>
        <v>2.7272727272727271</v>
      </c>
    </row>
    <row r="125" spans="1:26" s="24" customFormat="1" hidden="1" outlineLevel="2" x14ac:dyDescent="0.3">
      <c r="A125" s="27"/>
      <c r="B125" s="11" t="str">
        <f>CONCATENATE("          ", "7741", " - ", "INV. SHRINKAGE-LOGO GIFTS")</f>
        <v xml:space="preserve">          7741 - INV. SHRINKAGE-LOGO GIFTS</v>
      </c>
      <c r="C125" s="11"/>
      <c r="D125" s="7"/>
      <c r="E125" s="2"/>
      <c r="F125" s="6">
        <f t="shared" si="57"/>
        <v>0</v>
      </c>
      <c r="G125" s="2"/>
      <c r="H125" s="7"/>
      <c r="I125" s="2"/>
      <c r="J125" s="6">
        <f t="shared" si="58"/>
        <v>0</v>
      </c>
      <c r="K125" s="2"/>
      <c r="L125" s="7">
        <f t="shared" si="59"/>
        <v>0</v>
      </c>
      <c r="M125" s="2"/>
      <c r="N125" s="6">
        <f t="shared" si="60"/>
        <v>0</v>
      </c>
      <c r="O125" s="11"/>
      <c r="P125" s="7"/>
      <c r="Q125" s="2"/>
      <c r="R125" s="6">
        <f t="shared" si="61"/>
        <v>0</v>
      </c>
      <c r="S125" s="2"/>
      <c r="T125" s="7">
        <v>0</v>
      </c>
      <c r="U125" s="2"/>
      <c r="V125" s="6">
        <f t="shared" si="62"/>
        <v>0</v>
      </c>
      <c r="W125" s="2"/>
      <c r="X125" s="7">
        <f t="shared" si="63"/>
        <v>0</v>
      </c>
      <c r="Y125" s="2"/>
      <c r="Z125" s="6">
        <f t="shared" si="64"/>
        <v>0</v>
      </c>
    </row>
    <row r="126" spans="1:26" s="29" customFormat="1" outlineLevel="1" collapsed="1" x14ac:dyDescent="0.3">
      <c r="A126" s="28"/>
      <c r="B126" s="14" t="str">
        <f>CONCATENATE("     ","Professional Services                             ")</f>
        <v xml:space="preserve">     Professional Services                             </v>
      </c>
      <c r="C126" s="14"/>
      <c r="D126" s="1">
        <f>SUM(OSRRefD22_12x_0)</f>
        <v>0</v>
      </c>
      <c r="E126" s="1"/>
      <c r="F126" s="5">
        <f t="shared" ref="F126:F133" si="65">IF(D$12=0,0,D126/D$12)</f>
        <v>0</v>
      </c>
      <c r="G126" s="1"/>
      <c r="H126" s="1">
        <f>SUM(OSRRefH22_12x_0)</f>
        <v>0</v>
      </c>
      <c r="I126" s="1"/>
      <c r="J126" s="5">
        <f t="shared" ref="J126:J133" si="66">IF(H$12=0,0,H126/H$12)</f>
        <v>0</v>
      </c>
      <c r="K126" s="1"/>
      <c r="L126" s="1">
        <f t="shared" ref="L126:L133" si="67">+D126-H126</f>
        <v>0</v>
      </c>
      <c r="M126" s="1"/>
      <c r="N126" s="5">
        <f t="shared" ref="N126:N133" si="68">IF(H126=0,0,L126/H126)</f>
        <v>0</v>
      </c>
      <c r="O126" s="14"/>
      <c r="P126" s="1">
        <f>SUM(OSRRefP22_12x_0)</f>
        <v>669.1</v>
      </c>
      <c r="Q126" s="1"/>
      <c r="R126" s="5">
        <f t="shared" ref="R126:R133" si="69">IF(P$12=0,0,P126/P$12)</f>
        <v>2.8539314424076185E-4</v>
      </c>
      <c r="S126" s="1"/>
      <c r="T126" s="1">
        <f>SUM(OSRRefT22_12x_0)</f>
        <v>0</v>
      </c>
      <c r="U126" s="1"/>
      <c r="V126" s="5">
        <f t="shared" ref="V126:V133" si="70">IF(T$12=0,0,T126/T$12)</f>
        <v>0</v>
      </c>
      <c r="W126" s="1"/>
      <c r="X126" s="1">
        <f t="shared" ref="X126:X133" si="71">+P126-T126</f>
        <v>669.1</v>
      </c>
      <c r="Y126" s="1"/>
      <c r="Z126" s="5">
        <f t="shared" ref="Z126:Z133" si="72">IF(T126=0,0,X126/T126)</f>
        <v>0</v>
      </c>
    </row>
    <row r="127" spans="1:26" s="24" customFormat="1" hidden="1" outlineLevel="2" x14ac:dyDescent="0.3">
      <c r="A127" s="27"/>
      <c r="B127" s="11" t="str">
        <f>CONCATENATE("          ", "6336", " - ", "PROFESSIONAL SERVICES")</f>
        <v xml:space="preserve">          6336 - PROFESSIONAL SERVICES</v>
      </c>
      <c r="C127" s="11"/>
      <c r="D127" s="7"/>
      <c r="E127" s="2"/>
      <c r="F127" s="6">
        <f t="shared" si="65"/>
        <v>0</v>
      </c>
      <c r="G127" s="2"/>
      <c r="H127" s="7"/>
      <c r="I127" s="2"/>
      <c r="J127" s="6">
        <f t="shared" si="66"/>
        <v>0</v>
      </c>
      <c r="K127" s="2"/>
      <c r="L127" s="7">
        <f t="shared" si="67"/>
        <v>0</v>
      </c>
      <c r="M127" s="2"/>
      <c r="N127" s="6">
        <f t="shared" si="68"/>
        <v>0</v>
      </c>
      <c r="O127" s="11"/>
      <c r="P127" s="7">
        <v>669.1</v>
      </c>
      <c r="Q127" s="2"/>
      <c r="R127" s="6">
        <f t="shared" si="69"/>
        <v>2.8539314424076185E-4</v>
      </c>
      <c r="S127" s="2"/>
      <c r="T127" s="7"/>
      <c r="U127" s="2"/>
      <c r="V127" s="6">
        <f t="shared" si="70"/>
        <v>0</v>
      </c>
      <c r="W127" s="2"/>
      <c r="X127" s="7">
        <f t="shared" si="71"/>
        <v>669.1</v>
      </c>
      <c r="Y127" s="2"/>
      <c r="Z127" s="6">
        <f t="shared" si="72"/>
        <v>0</v>
      </c>
    </row>
    <row r="128" spans="1:26" s="29" customFormat="1" outlineLevel="1" collapsed="1" x14ac:dyDescent="0.3">
      <c r="A128" s="28"/>
      <c r="B128" s="14" t="str">
        <f>CONCATENATE("     ","Rent                                              ")</f>
        <v xml:space="preserve">     Rent                                              </v>
      </c>
      <c r="C128" s="14"/>
      <c r="D128" s="1">
        <f>SUM(OSRRefD22_13x_0)</f>
        <v>6900</v>
      </c>
      <c r="E128" s="1"/>
      <c r="F128" s="5">
        <f t="shared" si="65"/>
        <v>3.7928055206538039E-2</v>
      </c>
      <c r="G128" s="1"/>
      <c r="H128" s="1">
        <f>SUM(OSRRefH22_13x_0)</f>
        <v>6900</v>
      </c>
      <c r="I128" s="1"/>
      <c r="J128" s="5">
        <f t="shared" si="66"/>
        <v>4.3046338197735894E-2</v>
      </c>
      <c r="K128" s="1"/>
      <c r="L128" s="1">
        <f t="shared" si="67"/>
        <v>0</v>
      </c>
      <c r="M128" s="1"/>
      <c r="N128" s="5">
        <f t="shared" si="68"/>
        <v>0</v>
      </c>
      <c r="O128" s="14"/>
      <c r="P128" s="1">
        <f>SUM(OSRRefP22_13x_0)</f>
        <v>48300</v>
      </c>
      <c r="Q128" s="1"/>
      <c r="R128" s="5">
        <f t="shared" si="69"/>
        <v>2.060153768768315E-2</v>
      </c>
      <c r="S128" s="1"/>
      <c r="T128" s="1">
        <f>SUM(OSRRefT22_13x_0)</f>
        <v>48300</v>
      </c>
      <c r="U128" s="1"/>
      <c r="V128" s="5">
        <f t="shared" si="70"/>
        <v>3.9847380408049561E-2</v>
      </c>
      <c r="W128" s="1"/>
      <c r="X128" s="1">
        <f t="shared" si="71"/>
        <v>0</v>
      </c>
      <c r="Y128" s="1"/>
      <c r="Z128" s="5">
        <f t="shared" si="72"/>
        <v>0</v>
      </c>
    </row>
    <row r="129" spans="1:26" s="24" customFormat="1" hidden="1" outlineLevel="2" x14ac:dyDescent="0.3">
      <c r="A129" s="27"/>
      <c r="B129" s="11" t="str">
        <f>CONCATENATE("          ", "6273", " - ", "RENT")</f>
        <v xml:space="preserve">          6273 - RENT</v>
      </c>
      <c r="C129" s="11"/>
      <c r="D129" s="7">
        <v>6900</v>
      </c>
      <c r="E129" s="2"/>
      <c r="F129" s="6">
        <f t="shared" si="65"/>
        <v>3.7928055206538039E-2</v>
      </c>
      <c r="G129" s="2"/>
      <c r="H129" s="7">
        <v>6900</v>
      </c>
      <c r="I129" s="2"/>
      <c r="J129" s="6">
        <f t="shared" si="66"/>
        <v>4.3046338197735894E-2</v>
      </c>
      <c r="K129" s="2"/>
      <c r="L129" s="7">
        <f t="shared" si="67"/>
        <v>0</v>
      </c>
      <c r="M129" s="2"/>
      <c r="N129" s="6">
        <f t="shared" si="68"/>
        <v>0</v>
      </c>
      <c r="O129" s="11"/>
      <c r="P129" s="7">
        <v>48300</v>
      </c>
      <c r="Q129" s="2"/>
      <c r="R129" s="6">
        <f t="shared" si="69"/>
        <v>2.060153768768315E-2</v>
      </c>
      <c r="S129" s="2"/>
      <c r="T129" s="7">
        <v>48300</v>
      </c>
      <c r="U129" s="2"/>
      <c r="V129" s="6">
        <f t="shared" si="70"/>
        <v>3.9847380408049561E-2</v>
      </c>
      <c r="W129" s="2"/>
      <c r="X129" s="7">
        <f t="shared" si="71"/>
        <v>0</v>
      </c>
      <c r="Y129" s="2"/>
      <c r="Z129" s="6">
        <f t="shared" si="72"/>
        <v>0</v>
      </c>
    </row>
    <row r="130" spans="1:26" s="29" customFormat="1" outlineLevel="1" collapsed="1" x14ac:dyDescent="0.3">
      <c r="A130" s="28"/>
      <c r="B130" s="14" t="str">
        <f>CONCATENATE("     ","Repair and Maintenance                            ")</f>
        <v xml:space="preserve">     Repair and Maintenance                            </v>
      </c>
      <c r="C130" s="14"/>
      <c r="D130" s="1">
        <f>SUM(OSRRefD22_14x_0)</f>
        <v>0</v>
      </c>
      <c r="E130" s="1"/>
      <c r="F130" s="5">
        <f t="shared" si="65"/>
        <v>0</v>
      </c>
      <c r="G130" s="1"/>
      <c r="H130" s="1">
        <f>SUM(OSRRefH22_14x_0)</f>
        <v>0</v>
      </c>
      <c r="I130" s="1"/>
      <c r="J130" s="5">
        <f t="shared" si="66"/>
        <v>0</v>
      </c>
      <c r="K130" s="1"/>
      <c r="L130" s="1">
        <f t="shared" si="67"/>
        <v>0</v>
      </c>
      <c r="M130" s="1"/>
      <c r="N130" s="5">
        <f t="shared" si="68"/>
        <v>0</v>
      </c>
      <c r="O130" s="14"/>
      <c r="P130" s="1">
        <f>SUM(OSRRefP22_14x_0)</f>
        <v>3354.3199999999997</v>
      </c>
      <c r="Q130" s="1"/>
      <c r="R130" s="5">
        <f t="shared" si="69"/>
        <v>1.4307277411293859E-3</v>
      </c>
      <c r="S130" s="1"/>
      <c r="T130" s="1">
        <f>SUM(OSRRefT22_14x_0)</f>
        <v>297.26</v>
      </c>
      <c r="U130" s="1"/>
      <c r="V130" s="5">
        <f t="shared" si="70"/>
        <v>2.4523876397715969E-4</v>
      </c>
      <c r="W130" s="1"/>
      <c r="X130" s="1">
        <f t="shared" si="71"/>
        <v>3057.0599999999995</v>
      </c>
      <c r="Y130" s="1"/>
      <c r="Z130" s="5">
        <f t="shared" si="72"/>
        <v>10.284128372468544</v>
      </c>
    </row>
    <row r="131" spans="1:26" s="24" customFormat="1" hidden="1" outlineLevel="2" x14ac:dyDescent="0.3">
      <c r="A131" s="27"/>
      <c r="B131" s="11" t="str">
        <f>CONCATENATE("          ", "6372", " - ", "COMPUTER HARDWARE MAINTENANCE")</f>
        <v xml:space="preserve">          6372 - COMPUTER HARDWARE MAINTENANCE</v>
      </c>
      <c r="C131" s="11"/>
      <c r="D131" s="7"/>
      <c r="E131" s="2"/>
      <c r="F131" s="6">
        <f t="shared" si="65"/>
        <v>0</v>
      </c>
      <c r="G131" s="2"/>
      <c r="H131" s="7"/>
      <c r="I131" s="2"/>
      <c r="J131" s="6">
        <f t="shared" si="66"/>
        <v>0</v>
      </c>
      <c r="K131" s="2"/>
      <c r="L131" s="7">
        <f t="shared" si="67"/>
        <v>0</v>
      </c>
      <c r="M131" s="2"/>
      <c r="N131" s="6">
        <f t="shared" si="68"/>
        <v>0</v>
      </c>
      <c r="O131" s="11"/>
      <c r="P131" s="7"/>
      <c r="Q131" s="2"/>
      <c r="R131" s="6">
        <f t="shared" si="69"/>
        <v>0</v>
      </c>
      <c r="S131" s="2"/>
      <c r="T131" s="7">
        <v>0</v>
      </c>
      <c r="U131" s="2"/>
      <c r="V131" s="6">
        <f t="shared" si="70"/>
        <v>0</v>
      </c>
      <c r="W131" s="2"/>
      <c r="X131" s="7">
        <f t="shared" si="71"/>
        <v>0</v>
      </c>
      <c r="Y131" s="2"/>
      <c r="Z131" s="6">
        <f t="shared" si="72"/>
        <v>0</v>
      </c>
    </row>
    <row r="132" spans="1:26" s="24" customFormat="1" hidden="1" outlineLevel="2" x14ac:dyDescent="0.3">
      <c r="A132" s="27"/>
      <c r="B132" s="11" t="str">
        <f>CONCATENATE("          ", "6373", " - ", "MAINTENANCE CONTRACTS")</f>
        <v xml:space="preserve">          6373 - MAINTENANCE CONTRACTS</v>
      </c>
      <c r="C132" s="11"/>
      <c r="D132" s="7"/>
      <c r="E132" s="2"/>
      <c r="F132" s="6">
        <f t="shared" si="65"/>
        <v>0</v>
      </c>
      <c r="G132" s="2"/>
      <c r="H132" s="7"/>
      <c r="I132" s="2"/>
      <c r="J132" s="6">
        <f t="shared" si="66"/>
        <v>0</v>
      </c>
      <c r="K132" s="2"/>
      <c r="L132" s="7">
        <f t="shared" si="67"/>
        <v>0</v>
      </c>
      <c r="M132" s="2"/>
      <c r="N132" s="6">
        <f t="shared" si="68"/>
        <v>0</v>
      </c>
      <c r="O132" s="11"/>
      <c r="P132" s="7">
        <v>669.7</v>
      </c>
      <c r="Q132" s="2"/>
      <c r="R132" s="6">
        <f t="shared" si="69"/>
        <v>2.8564906396359019E-4</v>
      </c>
      <c r="S132" s="2"/>
      <c r="T132" s="7">
        <v>297.26</v>
      </c>
      <c r="U132" s="2"/>
      <c r="V132" s="6">
        <f t="shared" si="70"/>
        <v>2.4523876397715969E-4</v>
      </c>
      <c r="W132" s="2"/>
      <c r="X132" s="7">
        <f t="shared" si="71"/>
        <v>372.44000000000005</v>
      </c>
      <c r="Y132" s="2"/>
      <c r="Z132" s="6">
        <f t="shared" si="72"/>
        <v>1.2529099105160468</v>
      </c>
    </row>
    <row r="133" spans="1:26" s="24" customFormat="1" hidden="1" outlineLevel="2" x14ac:dyDescent="0.3">
      <c r="A133" s="27"/>
      <c r="B133" s="11" t="str">
        <f>CONCATENATE("          ", "6375", " - ", "OUTSIDE REPAIRS &amp; MAINTENANCE")</f>
        <v xml:space="preserve">          6375 - OUTSIDE REPAIRS &amp; MAINTENANCE</v>
      </c>
      <c r="C133" s="11"/>
      <c r="D133" s="7"/>
      <c r="E133" s="2"/>
      <c r="F133" s="6">
        <f t="shared" si="65"/>
        <v>0</v>
      </c>
      <c r="G133" s="2"/>
      <c r="H133" s="7"/>
      <c r="I133" s="2"/>
      <c r="J133" s="6">
        <f t="shared" si="66"/>
        <v>0</v>
      </c>
      <c r="K133" s="2"/>
      <c r="L133" s="7">
        <f t="shared" si="67"/>
        <v>0</v>
      </c>
      <c r="M133" s="2"/>
      <c r="N133" s="6">
        <f t="shared" si="68"/>
        <v>0</v>
      </c>
      <c r="O133" s="11"/>
      <c r="P133" s="7">
        <v>2684.62</v>
      </c>
      <c r="Q133" s="2"/>
      <c r="R133" s="6">
        <f t="shared" si="69"/>
        <v>1.1450786771657958E-3</v>
      </c>
      <c r="S133" s="2"/>
      <c r="T133" s="7"/>
      <c r="U133" s="2"/>
      <c r="V133" s="6">
        <f t="shared" si="70"/>
        <v>0</v>
      </c>
      <c r="W133" s="2"/>
      <c r="X133" s="7">
        <f t="shared" si="71"/>
        <v>2684.62</v>
      </c>
      <c r="Y133" s="2"/>
      <c r="Z133" s="6">
        <f t="shared" si="72"/>
        <v>0</v>
      </c>
    </row>
    <row r="134" spans="1:26" s="29" customFormat="1" outlineLevel="1" collapsed="1" x14ac:dyDescent="0.3">
      <c r="A134" s="28"/>
      <c r="B134" s="14" t="str">
        <f>CONCATENATE("     ","Royalty &amp; Commissions                             ")</f>
        <v xml:space="preserve">     Royalty &amp; Commissions                             </v>
      </c>
      <c r="C134" s="14"/>
      <c r="D134" s="1">
        <f>SUM(OSRRefD22_15x_0)</f>
        <v>23450.06</v>
      </c>
      <c r="E134" s="1"/>
      <c r="F134" s="5">
        <f t="shared" ref="F134:F136" si="73">IF(D$12=0,0,D134/D$12)</f>
        <v>0.12890074931545356</v>
      </c>
      <c r="G134" s="1"/>
      <c r="H134" s="1">
        <f>SUM(OSRRefH22_15x_0)</f>
        <v>7785.78</v>
      </c>
      <c r="I134" s="1"/>
      <c r="J134" s="5">
        <f t="shared" ref="J134:J136" si="74">IF(H$12=0,0,H134/H$12)</f>
        <v>4.8572365074372195E-2</v>
      </c>
      <c r="K134" s="1"/>
      <c r="L134" s="1">
        <f t="shared" ref="L134:L136" si="75">+D134-H134</f>
        <v>15664.280000000002</v>
      </c>
      <c r="M134" s="1"/>
      <c r="N134" s="5">
        <f t="shared" ref="N134:N136" si="76">IF(H134=0,0,L134/H134)</f>
        <v>2.0119088903102842</v>
      </c>
      <c r="O134" s="14"/>
      <c r="P134" s="1">
        <f>SUM(OSRRefP22_15x_0)</f>
        <v>39582.850000000006</v>
      </c>
      <c r="Q134" s="1"/>
      <c r="R134" s="5">
        <f t="shared" ref="R134:R136" si="77">IF(P$12=0,0,P134/P$12)</f>
        <v>1.6883386667927724E-2</v>
      </c>
      <c r="S134" s="1"/>
      <c r="T134" s="1">
        <f>SUM(OSRRefT22_15x_0)</f>
        <v>26197.58</v>
      </c>
      <c r="U134" s="1"/>
      <c r="V134" s="5">
        <f t="shared" ref="V134:V136" si="78">IF(T$12=0,0,T134/T$12)</f>
        <v>2.1612938634167932E-2</v>
      </c>
      <c r="W134" s="1"/>
      <c r="X134" s="1">
        <f t="shared" ref="X134:X136" si="79">+P134-T134</f>
        <v>13385.270000000004</v>
      </c>
      <c r="Y134" s="1"/>
      <c r="Z134" s="5">
        <f t="shared" ref="Z134:Z136" si="80">IF(T134=0,0,X134/T134)</f>
        <v>0.51093536120511907</v>
      </c>
    </row>
    <row r="135" spans="1:26" s="24" customFormat="1" hidden="1" outlineLevel="2" x14ac:dyDescent="0.3">
      <c r="A135" s="27"/>
      <c r="B135" s="11" t="str">
        <f>CONCATENATE("          ", "6253", " - ", "ROYALTY DUE ATHLETICS-LRG")</f>
        <v xml:space="preserve">          6253 - ROYALTY DUE ATHLETICS-LRG</v>
      </c>
      <c r="C135" s="11"/>
      <c r="D135" s="7">
        <v>16060.87</v>
      </c>
      <c r="E135" s="2"/>
      <c r="F135" s="6">
        <f t="shared" si="73"/>
        <v>8.8283704931163873E-2</v>
      </c>
      <c r="G135" s="2"/>
      <c r="H135" s="7">
        <v>7785.78</v>
      </c>
      <c r="I135" s="2"/>
      <c r="J135" s="6">
        <f t="shared" si="74"/>
        <v>4.8572365074372195E-2</v>
      </c>
      <c r="K135" s="2"/>
      <c r="L135" s="7">
        <f t="shared" si="75"/>
        <v>8275.09</v>
      </c>
      <c r="M135" s="2"/>
      <c r="N135" s="6">
        <f t="shared" si="76"/>
        <v>1.0628466255147204</v>
      </c>
      <c r="O135" s="11"/>
      <c r="P135" s="7">
        <v>39221.160000000003</v>
      </c>
      <c r="Q135" s="2"/>
      <c r="R135" s="6">
        <f t="shared" si="77"/>
        <v>1.6729113993678074E-2</v>
      </c>
      <c r="S135" s="2"/>
      <c r="T135" s="7">
        <v>26197.58</v>
      </c>
      <c r="U135" s="2"/>
      <c r="V135" s="6">
        <f t="shared" si="78"/>
        <v>2.1612938634167932E-2</v>
      </c>
      <c r="W135" s="2"/>
      <c r="X135" s="7">
        <f t="shared" si="79"/>
        <v>13023.580000000002</v>
      </c>
      <c r="Y135" s="2"/>
      <c r="Z135" s="6">
        <f t="shared" si="80"/>
        <v>0.49712912414047405</v>
      </c>
    </row>
    <row r="136" spans="1:26" s="24" customFormat="1" hidden="1" outlineLevel="2" x14ac:dyDescent="0.3">
      <c r="A136" s="27"/>
      <c r="B136" s="11" t="str">
        <f>CONCATENATE("          ", "6254", " - ", "ROYALTY &amp; COMMISSIONS")</f>
        <v xml:space="preserve">          6254 - ROYALTY &amp; COMMISSIONS</v>
      </c>
      <c r="C136" s="11"/>
      <c r="D136" s="7">
        <v>7389.19</v>
      </c>
      <c r="E136" s="2"/>
      <c r="F136" s="6">
        <f t="shared" si="73"/>
        <v>4.0617044384289681E-2</v>
      </c>
      <c r="G136" s="2"/>
      <c r="H136" s="7"/>
      <c r="I136" s="2"/>
      <c r="J136" s="6">
        <f t="shared" si="74"/>
        <v>0</v>
      </c>
      <c r="K136" s="2"/>
      <c r="L136" s="7">
        <f t="shared" si="75"/>
        <v>7389.19</v>
      </c>
      <c r="M136" s="2"/>
      <c r="N136" s="6">
        <f t="shared" si="76"/>
        <v>0</v>
      </c>
      <c r="O136" s="11"/>
      <c r="P136" s="7">
        <v>361.69</v>
      </c>
      <c r="Q136" s="2"/>
      <c r="R136" s="6">
        <f t="shared" si="77"/>
        <v>1.542726742496505E-4</v>
      </c>
      <c r="S136" s="2"/>
      <c r="T136" s="7"/>
      <c r="U136" s="2"/>
      <c r="V136" s="6">
        <f t="shared" si="78"/>
        <v>0</v>
      </c>
      <c r="W136" s="2"/>
      <c r="X136" s="7">
        <f t="shared" si="79"/>
        <v>361.69</v>
      </c>
      <c r="Y136" s="2"/>
      <c r="Z136" s="6">
        <f t="shared" si="80"/>
        <v>0</v>
      </c>
    </row>
    <row r="137" spans="1:26" s="29" customFormat="1" outlineLevel="1" collapsed="1" x14ac:dyDescent="0.3">
      <c r="A137" s="28"/>
      <c r="B137" s="14" t="str">
        <f>CONCATENATE("     ","Services                                          ")</f>
        <v xml:space="preserve">     Services                                          </v>
      </c>
      <c r="C137" s="14"/>
      <c r="D137" s="1">
        <f>SUM(OSRRefD22_16x_0)</f>
        <v>389.96</v>
      </c>
      <c r="E137" s="1"/>
      <c r="F137" s="5">
        <f t="shared" ref="F137:F141" si="81">IF(D$12=0,0,D137/D$12)</f>
        <v>2.1435397693248658E-3</v>
      </c>
      <c r="G137" s="1"/>
      <c r="H137" s="1">
        <f>SUM(OSRRefH22_16x_0)</f>
        <v>81.84</v>
      </c>
      <c r="I137" s="1"/>
      <c r="J137" s="5">
        <f t="shared" ref="J137:J141" si="82">IF(H$12=0,0,H137/H$12)</f>
        <v>5.1056700262358057E-4</v>
      </c>
      <c r="K137" s="1"/>
      <c r="L137" s="1">
        <f t="shared" ref="L137:L141" si="83">+D137-H137</f>
        <v>308.12</v>
      </c>
      <c r="M137" s="1"/>
      <c r="N137" s="5">
        <f t="shared" ref="N137:N141" si="84">IF(H137=0,0,L137/H137)</f>
        <v>3.7649071358748776</v>
      </c>
      <c r="O137" s="14"/>
      <c r="P137" s="1">
        <f>SUM(OSRRefP22_16x_0)</f>
        <v>4857.13</v>
      </c>
      <c r="Q137" s="1"/>
      <c r="R137" s="5">
        <f t="shared" ref="R137:R141" si="85">IF(P$12=0,0,P137/P$12)</f>
        <v>2.071725605568871E-3</v>
      </c>
      <c r="S137" s="1"/>
      <c r="T137" s="1">
        <f>SUM(OSRRefT22_16x_0)</f>
        <v>293.15999999999997</v>
      </c>
      <c r="U137" s="1"/>
      <c r="V137" s="5">
        <f t="shared" ref="V137:V141" si="86">IF(T$12=0,0,T137/T$12)</f>
        <v>2.4185627412885732E-4</v>
      </c>
      <c r="W137" s="1"/>
      <c r="X137" s="1">
        <f t="shared" ref="X137:X141" si="87">+P137-T137</f>
        <v>4563.97</v>
      </c>
      <c r="Y137" s="1"/>
      <c r="Z137" s="5">
        <f t="shared" ref="Z137:Z141" si="88">IF(T137=0,0,X137/T137)</f>
        <v>15.568188020193753</v>
      </c>
    </row>
    <row r="138" spans="1:26" s="24" customFormat="1" hidden="1" outlineLevel="2" x14ac:dyDescent="0.3">
      <c r="A138" s="27"/>
      <c r="B138" s="11" t="str">
        <f>CONCATENATE("          ", "6282", " - ", "JANITORIAL/EXTERMINATOR EXPENS")</f>
        <v xml:space="preserve">          6282 - JANITORIAL/EXTERMINATOR EXPENS</v>
      </c>
      <c r="C138" s="11"/>
      <c r="D138" s="7">
        <v>69</v>
      </c>
      <c r="E138" s="2"/>
      <c r="F138" s="6">
        <f t="shared" si="81"/>
        <v>3.792805520653804E-4</v>
      </c>
      <c r="G138" s="2"/>
      <c r="H138" s="7"/>
      <c r="I138" s="2"/>
      <c r="J138" s="6">
        <f t="shared" si="82"/>
        <v>0</v>
      </c>
      <c r="K138" s="2"/>
      <c r="L138" s="7">
        <f t="shared" si="83"/>
        <v>69</v>
      </c>
      <c r="M138" s="2"/>
      <c r="N138" s="6">
        <f t="shared" si="84"/>
        <v>0</v>
      </c>
      <c r="O138" s="11"/>
      <c r="P138" s="7">
        <v>698.6</v>
      </c>
      <c r="Q138" s="2"/>
      <c r="R138" s="6">
        <f t="shared" si="85"/>
        <v>2.9797586394648962E-4</v>
      </c>
      <c r="S138" s="2"/>
      <c r="T138" s="7">
        <v>176</v>
      </c>
      <c r="U138" s="2"/>
      <c r="V138" s="6">
        <f t="shared" si="86"/>
        <v>1.4519956421980794E-4</v>
      </c>
      <c r="W138" s="2"/>
      <c r="X138" s="7">
        <f t="shared" si="87"/>
        <v>522.6</v>
      </c>
      <c r="Y138" s="2"/>
      <c r="Z138" s="6">
        <f t="shared" si="88"/>
        <v>2.9693181818181817</v>
      </c>
    </row>
    <row r="139" spans="1:26" s="24" customFormat="1" hidden="1" outlineLevel="2" x14ac:dyDescent="0.3">
      <c r="A139" s="27"/>
      <c r="B139" s="11" t="str">
        <f>CONCATENATE("          ", "6283", " - ", "PLANT SERVICE")</f>
        <v xml:space="preserve">          6283 - PLANT SERVICE</v>
      </c>
      <c r="C139" s="11"/>
      <c r="D139" s="7"/>
      <c r="E139" s="2"/>
      <c r="F139" s="6">
        <f t="shared" si="81"/>
        <v>0</v>
      </c>
      <c r="G139" s="2"/>
      <c r="H139" s="7"/>
      <c r="I139" s="2"/>
      <c r="J139" s="6">
        <f t="shared" si="82"/>
        <v>0</v>
      </c>
      <c r="K139" s="2"/>
      <c r="L139" s="7">
        <f t="shared" si="83"/>
        <v>0</v>
      </c>
      <c r="M139" s="2"/>
      <c r="N139" s="6">
        <f t="shared" si="84"/>
        <v>0</v>
      </c>
      <c r="O139" s="11"/>
      <c r="P139" s="7"/>
      <c r="Q139" s="2"/>
      <c r="R139" s="6">
        <f t="shared" si="85"/>
        <v>0</v>
      </c>
      <c r="S139" s="2"/>
      <c r="T139" s="7">
        <v>41.31</v>
      </c>
      <c r="U139" s="2"/>
      <c r="V139" s="6">
        <f t="shared" si="86"/>
        <v>3.4080647715456058E-5</v>
      </c>
      <c r="W139" s="2"/>
      <c r="X139" s="7">
        <f t="shared" si="87"/>
        <v>-41.31</v>
      </c>
      <c r="Y139" s="2"/>
      <c r="Z139" s="6">
        <f t="shared" si="88"/>
        <v>-1</v>
      </c>
    </row>
    <row r="140" spans="1:26" s="24" customFormat="1" hidden="1" outlineLevel="2" x14ac:dyDescent="0.3">
      <c r="A140" s="27"/>
      <c r="B140" s="11" t="str">
        <f>CONCATENATE("          ", "6284", " - ", "TRASH REMOVAL EXPENSE")</f>
        <v xml:space="preserve">          6284 - TRASH REMOVAL EXPENSE</v>
      </c>
      <c r="C140" s="11"/>
      <c r="D140" s="7">
        <v>149.69999999999999</v>
      </c>
      <c r="E140" s="2"/>
      <c r="F140" s="6">
        <f t="shared" si="81"/>
        <v>8.2287389339402099E-4</v>
      </c>
      <c r="G140" s="2"/>
      <c r="H140" s="7">
        <v>142.57</v>
      </c>
      <c r="I140" s="2"/>
      <c r="J140" s="6">
        <f t="shared" si="82"/>
        <v>8.8943716476104441E-4</v>
      </c>
      <c r="K140" s="2"/>
      <c r="L140" s="7">
        <f t="shared" si="83"/>
        <v>7.1299999999999955</v>
      </c>
      <c r="M140" s="2"/>
      <c r="N140" s="6">
        <f t="shared" si="84"/>
        <v>5.0010521147506461E-2</v>
      </c>
      <c r="O140" s="11"/>
      <c r="P140" s="7">
        <v>1040.77</v>
      </c>
      <c r="Q140" s="2"/>
      <c r="R140" s="6">
        <f t="shared" si="85"/>
        <v>4.4392261654679075E-4</v>
      </c>
      <c r="S140" s="2"/>
      <c r="T140" s="7">
        <v>1013.01</v>
      </c>
      <c r="U140" s="2"/>
      <c r="V140" s="6">
        <f t="shared" si="86"/>
        <v>8.3573074176311157E-4</v>
      </c>
      <c r="W140" s="2"/>
      <c r="X140" s="7">
        <f t="shared" si="87"/>
        <v>27.759999999999991</v>
      </c>
      <c r="Y140" s="2"/>
      <c r="Z140" s="6">
        <f t="shared" si="88"/>
        <v>2.7403480715886309E-2</v>
      </c>
    </row>
    <row r="141" spans="1:26" s="24" customFormat="1" hidden="1" outlineLevel="2" x14ac:dyDescent="0.3">
      <c r="A141" s="27"/>
      <c r="B141" s="11" t="str">
        <f>CONCATENATE("          ", "6285", " - ", "JANITORIAL SERVICES")</f>
        <v xml:space="preserve">          6285 - JANITORIAL SERVICES</v>
      </c>
      <c r="C141" s="11"/>
      <c r="D141" s="7">
        <v>171.26</v>
      </c>
      <c r="E141" s="2"/>
      <c r="F141" s="6">
        <f t="shared" si="81"/>
        <v>9.4138532386546449E-4</v>
      </c>
      <c r="G141" s="2"/>
      <c r="H141" s="7">
        <v>-60.73</v>
      </c>
      <c r="I141" s="2"/>
      <c r="J141" s="6">
        <f t="shared" si="82"/>
        <v>-3.7887016213746389E-4</v>
      </c>
      <c r="K141" s="2"/>
      <c r="L141" s="7">
        <f t="shared" si="83"/>
        <v>231.98999999999998</v>
      </c>
      <c r="M141" s="2"/>
      <c r="N141" s="6">
        <f t="shared" si="84"/>
        <v>-3.8200230528569077</v>
      </c>
      <c r="O141" s="11"/>
      <c r="P141" s="7">
        <v>3117.76</v>
      </c>
      <c r="Q141" s="2"/>
      <c r="R141" s="6">
        <f t="shared" si="85"/>
        <v>1.3298271250755905E-3</v>
      </c>
      <c r="S141" s="2"/>
      <c r="T141" s="7">
        <v>-937.16</v>
      </c>
      <c r="U141" s="2"/>
      <c r="V141" s="6">
        <f t="shared" si="86"/>
        <v>-7.7315467956951813E-4</v>
      </c>
      <c r="W141" s="2"/>
      <c r="X141" s="7">
        <f t="shared" si="87"/>
        <v>4054.92</v>
      </c>
      <c r="Y141" s="2"/>
      <c r="Z141" s="6">
        <f t="shared" si="88"/>
        <v>-4.3268171923684324</v>
      </c>
    </row>
    <row r="142" spans="1:26" s="29" customFormat="1" outlineLevel="1" collapsed="1" x14ac:dyDescent="0.3">
      <c r="A142" s="28"/>
      <c r="B142" s="14" t="str">
        <f>CONCATENATE("     ","Subscriptions &amp; Dues                              ")</f>
        <v xml:space="preserve">     Subscriptions &amp; Dues                              </v>
      </c>
      <c r="C142" s="14"/>
      <c r="D142" s="1">
        <f>SUM(OSRRefD22_17x_0)</f>
        <v>0</v>
      </c>
      <c r="E142" s="1"/>
      <c r="F142" s="5">
        <f t="shared" ref="F142:F144" si="89">IF(D$12=0,0,D142/D$12)</f>
        <v>0</v>
      </c>
      <c r="G142" s="1"/>
      <c r="H142" s="1">
        <f>SUM(OSRRefH22_17x_0)</f>
        <v>208.7</v>
      </c>
      <c r="I142" s="1"/>
      <c r="J142" s="5">
        <f t="shared" ref="J142:J144" si="90">IF(H$12=0,0,H142/H$12)</f>
        <v>1.3019957654880408E-3</v>
      </c>
      <c r="K142" s="1"/>
      <c r="L142" s="1">
        <f t="shared" ref="L142:L144" si="91">+D142-H142</f>
        <v>-208.7</v>
      </c>
      <c r="M142" s="1"/>
      <c r="N142" s="5">
        <f t="shared" ref="N142:N144" si="92">IF(H142=0,0,L142/H142)</f>
        <v>-1</v>
      </c>
      <c r="O142" s="14"/>
      <c r="P142" s="1">
        <f>SUM(OSRRefP22_17x_0)</f>
        <v>0</v>
      </c>
      <c r="Q142" s="1"/>
      <c r="R142" s="5">
        <f t="shared" ref="R142:R144" si="93">IF(P$12=0,0,P142/P$12)</f>
        <v>0</v>
      </c>
      <c r="S142" s="1"/>
      <c r="T142" s="1">
        <f>SUM(OSRRefT22_17x_0)</f>
        <v>-67.299999999999955</v>
      </c>
      <c r="U142" s="1"/>
      <c r="V142" s="5">
        <f t="shared" ref="V142:V144" si="94">IF(T$12=0,0,T142/T$12)</f>
        <v>-5.5522333363596969E-5</v>
      </c>
      <c r="W142" s="1"/>
      <c r="X142" s="1">
        <f t="shared" ref="X142:X144" si="95">+P142-T142</f>
        <v>67.299999999999955</v>
      </c>
      <c r="Y142" s="1"/>
      <c r="Z142" s="5">
        <f t="shared" ref="Z142:Z144" si="96">IF(T142=0,0,X142/T142)</f>
        <v>-1</v>
      </c>
    </row>
    <row r="143" spans="1:26" s="24" customFormat="1" hidden="1" outlineLevel="2" x14ac:dyDescent="0.3">
      <c r="A143" s="27"/>
      <c r="B143" s="11" t="str">
        <f>CONCATENATE("          ", "6258", " - ", "MEMBERSHIP DUES")</f>
        <v xml:space="preserve">          6258 - MEMBERSHIP DUES</v>
      </c>
      <c r="C143" s="11"/>
      <c r="D143" s="7"/>
      <c r="E143" s="2"/>
      <c r="F143" s="6">
        <f t="shared" si="89"/>
        <v>0</v>
      </c>
      <c r="G143" s="2"/>
      <c r="H143" s="7">
        <v>133.69999999999999</v>
      </c>
      <c r="I143" s="2"/>
      <c r="J143" s="6">
        <f t="shared" si="90"/>
        <v>8.341007850778679E-4</v>
      </c>
      <c r="K143" s="2"/>
      <c r="L143" s="7">
        <f t="shared" si="91"/>
        <v>-133.69999999999999</v>
      </c>
      <c r="M143" s="2"/>
      <c r="N143" s="6">
        <f t="shared" si="92"/>
        <v>-1</v>
      </c>
      <c r="O143" s="11"/>
      <c r="P143" s="7"/>
      <c r="Q143" s="2"/>
      <c r="R143" s="6">
        <f t="shared" si="93"/>
        <v>0</v>
      </c>
      <c r="S143" s="2"/>
      <c r="T143" s="7">
        <v>-368.03</v>
      </c>
      <c r="U143" s="2"/>
      <c r="V143" s="6">
        <f t="shared" si="94"/>
        <v>-3.0362383874895402E-4</v>
      </c>
      <c r="W143" s="2"/>
      <c r="X143" s="7">
        <f t="shared" si="95"/>
        <v>368.03</v>
      </c>
      <c r="Y143" s="2"/>
      <c r="Z143" s="6">
        <f t="shared" si="96"/>
        <v>-1</v>
      </c>
    </row>
    <row r="144" spans="1:26" s="24" customFormat="1" hidden="1" outlineLevel="2" x14ac:dyDescent="0.3">
      <c r="A144" s="27"/>
      <c r="B144" s="11" t="str">
        <f>CONCATENATE("          ", "6275", " - ", "SUBSCRIPTIONS")</f>
        <v xml:space="preserve">          6275 - SUBSCRIPTIONS</v>
      </c>
      <c r="C144" s="11"/>
      <c r="D144" s="7"/>
      <c r="E144" s="2"/>
      <c r="F144" s="6">
        <f t="shared" si="89"/>
        <v>0</v>
      </c>
      <c r="G144" s="2"/>
      <c r="H144" s="7">
        <v>75</v>
      </c>
      <c r="I144" s="2"/>
      <c r="J144" s="6">
        <f t="shared" si="90"/>
        <v>4.6789498041017275E-4</v>
      </c>
      <c r="K144" s="2"/>
      <c r="L144" s="7">
        <f t="shared" si="91"/>
        <v>-75</v>
      </c>
      <c r="M144" s="2"/>
      <c r="N144" s="6">
        <f t="shared" si="92"/>
        <v>-1</v>
      </c>
      <c r="O144" s="11"/>
      <c r="P144" s="7"/>
      <c r="Q144" s="2"/>
      <c r="R144" s="6">
        <f t="shared" si="93"/>
        <v>0</v>
      </c>
      <c r="S144" s="2"/>
      <c r="T144" s="7">
        <v>300.73</v>
      </c>
      <c r="U144" s="2"/>
      <c r="V144" s="6">
        <f t="shared" si="94"/>
        <v>2.4810150538535707E-4</v>
      </c>
      <c r="W144" s="2"/>
      <c r="X144" s="7">
        <f t="shared" si="95"/>
        <v>-300.73</v>
      </c>
      <c r="Y144" s="2"/>
      <c r="Z144" s="6">
        <f t="shared" si="96"/>
        <v>-1</v>
      </c>
    </row>
    <row r="145" spans="1:26" s="29" customFormat="1" outlineLevel="1" collapsed="1" x14ac:dyDescent="0.3">
      <c r="A145" s="28"/>
      <c r="B145" s="14" t="str">
        <f>CONCATENATE("     ","Supplies                                          ")</f>
        <v xml:space="preserve">     Supplies                                          </v>
      </c>
      <c r="C145" s="14"/>
      <c r="D145" s="1">
        <f>SUM(OSRRefD22_18x_0)</f>
        <v>137.04</v>
      </c>
      <c r="E145" s="1"/>
      <c r="F145" s="5">
        <f t="shared" ref="F145:F151" si="97">IF(D$12=0,0,D145/D$12)</f>
        <v>7.532841573194164E-4</v>
      </c>
      <c r="G145" s="1"/>
      <c r="H145" s="1">
        <f>SUM(OSRRefH22_18x_0)</f>
        <v>1606.65</v>
      </c>
      <c r="I145" s="1"/>
      <c r="J145" s="5">
        <f t="shared" ref="J145:J151" si="98">IF(H$12=0,0,H145/H$12)</f>
        <v>1.0023246270346722E-2</v>
      </c>
      <c r="K145" s="1"/>
      <c r="L145" s="1">
        <f t="shared" ref="L145:L151" si="99">+D145-H145</f>
        <v>-1469.6100000000001</v>
      </c>
      <c r="M145" s="1"/>
      <c r="N145" s="5">
        <f t="shared" ref="N145:N151" si="100">IF(H145=0,0,L145/H145)</f>
        <v>-0.9147045093828774</v>
      </c>
      <c r="O145" s="14"/>
      <c r="P145" s="1">
        <f>SUM(OSRRefP22_18x_0)</f>
        <v>10471.09</v>
      </c>
      <c r="Q145" s="1"/>
      <c r="R145" s="5">
        <f t="shared" ref="R145:R151" si="101">IF(P$12=0,0,P145/P$12)</f>
        <v>4.4662640841847236E-3</v>
      </c>
      <c r="S145" s="1"/>
      <c r="T145" s="1">
        <f>SUM(OSRRefT22_18x_0)</f>
        <v>5743.41</v>
      </c>
      <c r="U145" s="1"/>
      <c r="V145" s="5">
        <f t="shared" ref="V145:V151" si="102">IF(T$12=0,0,T145/T$12)</f>
        <v>4.73829902918004E-3</v>
      </c>
      <c r="W145" s="1"/>
      <c r="X145" s="1">
        <f t="shared" ref="X145:X151" si="103">+P145-T145</f>
        <v>4727.68</v>
      </c>
      <c r="Y145" s="1"/>
      <c r="Z145" s="5">
        <f t="shared" ref="Z145:Z151" si="104">IF(T145=0,0,X145/T145)</f>
        <v>0.82314861728485345</v>
      </c>
    </row>
    <row r="146" spans="1:26" s="24" customFormat="1" hidden="1" outlineLevel="2" x14ac:dyDescent="0.3">
      <c r="A146" s="27"/>
      <c r="B146" s="11" t="str">
        <f>CONCATENATE("          ", "6234", " - ", "EXPENDABLE SUPPLIES &amp; EQUIPMEN")</f>
        <v xml:space="preserve">          6234 - EXPENDABLE SUPPLIES &amp; EQUIPMEN</v>
      </c>
      <c r="C146" s="11"/>
      <c r="D146" s="7"/>
      <c r="E146" s="2"/>
      <c r="F146" s="6">
        <f t="shared" si="97"/>
        <v>0</v>
      </c>
      <c r="G146" s="2"/>
      <c r="H146" s="7">
        <v>396.5</v>
      </c>
      <c r="I146" s="2"/>
      <c r="J146" s="6">
        <f t="shared" si="98"/>
        <v>2.4736047964351135E-3</v>
      </c>
      <c r="K146" s="2"/>
      <c r="L146" s="7">
        <f t="shared" si="99"/>
        <v>-396.5</v>
      </c>
      <c r="M146" s="2"/>
      <c r="N146" s="6">
        <f t="shared" si="100"/>
        <v>-1</v>
      </c>
      <c r="O146" s="11"/>
      <c r="P146" s="7">
        <v>1393.55</v>
      </c>
      <c r="Q146" s="2"/>
      <c r="R146" s="6">
        <f t="shared" si="101"/>
        <v>5.9439488291244003E-4</v>
      </c>
      <c r="S146" s="2"/>
      <c r="T146" s="7">
        <v>396.5</v>
      </c>
      <c r="U146" s="2"/>
      <c r="V146" s="6">
        <f t="shared" si="102"/>
        <v>3.2711151825655594E-4</v>
      </c>
      <c r="W146" s="2"/>
      <c r="X146" s="7">
        <f t="shared" si="103"/>
        <v>997.05</v>
      </c>
      <c r="Y146" s="2"/>
      <c r="Z146" s="6">
        <f t="shared" si="104"/>
        <v>2.5146279949558639</v>
      </c>
    </row>
    <row r="147" spans="1:26" s="24" customFormat="1" hidden="1" outlineLevel="2" x14ac:dyDescent="0.3">
      <c r="A147" s="27"/>
      <c r="B147" s="11" t="str">
        <f>CONCATENATE("          ", "6235", " - ", "COVID-19 EXPENSES")</f>
        <v xml:space="preserve">          6235 - COVID-19 EXPENSES</v>
      </c>
      <c r="C147" s="11"/>
      <c r="D147" s="7"/>
      <c r="E147" s="2"/>
      <c r="F147" s="6">
        <f t="shared" si="97"/>
        <v>0</v>
      </c>
      <c r="G147" s="2"/>
      <c r="H147" s="7"/>
      <c r="I147" s="2"/>
      <c r="J147" s="6">
        <f t="shared" si="98"/>
        <v>0</v>
      </c>
      <c r="K147" s="2"/>
      <c r="L147" s="7">
        <f t="shared" si="99"/>
        <v>0</v>
      </c>
      <c r="M147" s="2"/>
      <c r="N147" s="6">
        <f t="shared" si="100"/>
        <v>0</v>
      </c>
      <c r="O147" s="11"/>
      <c r="P147" s="7"/>
      <c r="Q147" s="2"/>
      <c r="R147" s="6">
        <f t="shared" si="101"/>
        <v>0</v>
      </c>
      <c r="S147" s="2"/>
      <c r="T147" s="7">
        <v>1736.43</v>
      </c>
      <c r="U147" s="2"/>
      <c r="V147" s="6">
        <f t="shared" si="102"/>
        <v>1.4325504505579608E-3</v>
      </c>
      <c r="W147" s="2"/>
      <c r="X147" s="7">
        <f t="shared" si="103"/>
        <v>-1736.43</v>
      </c>
      <c r="Y147" s="2"/>
      <c r="Z147" s="6">
        <f t="shared" si="104"/>
        <v>-1</v>
      </c>
    </row>
    <row r="148" spans="1:26" s="24" customFormat="1" hidden="1" outlineLevel="2" x14ac:dyDescent="0.3">
      <c r="A148" s="27"/>
      <c r="B148" s="11" t="str">
        <f>CONCATENATE("          ", "6237", " - ", "JANITORIAL SUPPLIES")</f>
        <v xml:space="preserve">          6237 - JANITORIAL SUPPLIES</v>
      </c>
      <c r="C148" s="11"/>
      <c r="D148" s="7"/>
      <c r="E148" s="2"/>
      <c r="F148" s="6">
        <f t="shared" si="97"/>
        <v>0</v>
      </c>
      <c r="G148" s="2"/>
      <c r="H148" s="7"/>
      <c r="I148" s="2"/>
      <c r="J148" s="6">
        <f t="shared" si="98"/>
        <v>0</v>
      </c>
      <c r="K148" s="2"/>
      <c r="L148" s="7">
        <f t="shared" si="99"/>
        <v>0</v>
      </c>
      <c r="M148" s="2"/>
      <c r="N148" s="6">
        <f t="shared" si="100"/>
        <v>0</v>
      </c>
      <c r="O148" s="11"/>
      <c r="P148" s="7">
        <v>77.17</v>
      </c>
      <c r="Q148" s="2"/>
      <c r="R148" s="6">
        <f t="shared" si="101"/>
        <v>3.2915541684441177E-5</v>
      </c>
      <c r="S148" s="2"/>
      <c r="T148" s="7">
        <v>191.74</v>
      </c>
      <c r="U148" s="2"/>
      <c r="V148" s="6">
        <f t="shared" si="102"/>
        <v>1.5818502524719304E-4</v>
      </c>
      <c r="W148" s="2"/>
      <c r="X148" s="7">
        <f t="shared" si="103"/>
        <v>-114.57000000000001</v>
      </c>
      <c r="Y148" s="2"/>
      <c r="Z148" s="6">
        <f t="shared" si="104"/>
        <v>-0.59752790236778974</v>
      </c>
    </row>
    <row r="149" spans="1:26" s="24" customFormat="1" hidden="1" outlineLevel="2" x14ac:dyDescent="0.3">
      <c r="A149" s="27"/>
      <c r="B149" s="11" t="str">
        <f>CONCATENATE("          ", "6241", " - ", "OFFICE EXPENSE")</f>
        <v xml:space="preserve">          6241 - OFFICE EXPENSE</v>
      </c>
      <c r="C149" s="11"/>
      <c r="D149" s="7">
        <v>137.04</v>
      </c>
      <c r="E149" s="2"/>
      <c r="F149" s="6">
        <f t="shared" si="97"/>
        <v>7.532841573194164E-4</v>
      </c>
      <c r="G149" s="2"/>
      <c r="H149" s="7">
        <v>337.04</v>
      </c>
      <c r="I149" s="2"/>
      <c r="J149" s="6">
        <f t="shared" si="98"/>
        <v>2.1026576559659287E-3</v>
      </c>
      <c r="K149" s="2"/>
      <c r="L149" s="7">
        <f t="shared" si="99"/>
        <v>-200.00000000000003</v>
      </c>
      <c r="M149" s="2"/>
      <c r="N149" s="6">
        <f t="shared" si="100"/>
        <v>-0.59340137669119397</v>
      </c>
      <c r="O149" s="11"/>
      <c r="P149" s="7">
        <v>1561.05</v>
      </c>
      <c r="Q149" s="2"/>
      <c r="R149" s="6">
        <f t="shared" si="101"/>
        <v>6.6583913886869117E-4</v>
      </c>
      <c r="S149" s="2"/>
      <c r="T149" s="7">
        <v>1129.44</v>
      </c>
      <c r="U149" s="2"/>
      <c r="V149" s="6">
        <f t="shared" si="102"/>
        <v>9.3178520347965844E-4</v>
      </c>
      <c r="W149" s="2"/>
      <c r="X149" s="7">
        <f t="shared" si="103"/>
        <v>431.6099999999999</v>
      </c>
      <c r="Y149" s="2"/>
      <c r="Z149" s="6">
        <f t="shared" si="104"/>
        <v>0.38214513387165311</v>
      </c>
    </row>
    <row r="150" spans="1:26" s="24" customFormat="1" hidden="1" outlineLevel="2" x14ac:dyDescent="0.3">
      <c r="A150" s="27"/>
      <c r="B150" s="11" t="str">
        <f>CONCATENATE("          ", "6245", " - ", "PRINTING")</f>
        <v xml:space="preserve">          6245 - PRINTING</v>
      </c>
      <c r="C150" s="11"/>
      <c r="D150" s="7"/>
      <c r="E150" s="2"/>
      <c r="F150" s="6">
        <f t="shared" si="97"/>
        <v>0</v>
      </c>
      <c r="G150" s="2"/>
      <c r="H150" s="7"/>
      <c r="I150" s="2"/>
      <c r="J150" s="6">
        <f t="shared" si="98"/>
        <v>0</v>
      </c>
      <c r="K150" s="2"/>
      <c r="L150" s="7">
        <f t="shared" si="99"/>
        <v>0</v>
      </c>
      <c r="M150" s="2"/>
      <c r="N150" s="6">
        <f t="shared" si="100"/>
        <v>0</v>
      </c>
      <c r="O150" s="11"/>
      <c r="P150" s="7">
        <v>24.75</v>
      </c>
      <c r="Q150" s="2"/>
      <c r="R150" s="6">
        <f t="shared" si="101"/>
        <v>1.0556688566669938E-5</v>
      </c>
      <c r="S150" s="2"/>
      <c r="T150" s="7"/>
      <c r="U150" s="2"/>
      <c r="V150" s="6">
        <f t="shared" si="102"/>
        <v>0</v>
      </c>
      <c r="W150" s="2"/>
      <c r="X150" s="7">
        <f t="shared" si="103"/>
        <v>24.75</v>
      </c>
      <c r="Y150" s="2"/>
      <c r="Z150" s="6">
        <f t="shared" si="104"/>
        <v>0</v>
      </c>
    </row>
    <row r="151" spans="1:26" s="24" customFormat="1" hidden="1" outlineLevel="2" x14ac:dyDescent="0.3">
      <c r="A151" s="27"/>
      <c r="B151" s="11" t="str">
        <f>CONCATENATE("          ", "6247", " - ", "STORE SUPPLIES")</f>
        <v xml:space="preserve">          6247 - STORE SUPPLIES</v>
      </c>
      <c r="C151" s="11"/>
      <c r="D151" s="7"/>
      <c r="E151" s="2"/>
      <c r="F151" s="6">
        <f t="shared" si="97"/>
        <v>0</v>
      </c>
      <c r="G151" s="2"/>
      <c r="H151" s="7">
        <v>873.11</v>
      </c>
      <c r="I151" s="2"/>
      <c r="J151" s="6">
        <f t="shared" si="98"/>
        <v>5.4469838179456798E-3</v>
      </c>
      <c r="K151" s="2"/>
      <c r="L151" s="7">
        <f t="shared" si="99"/>
        <v>-873.11</v>
      </c>
      <c r="M151" s="2"/>
      <c r="N151" s="6">
        <f t="shared" si="100"/>
        <v>-1</v>
      </c>
      <c r="O151" s="11"/>
      <c r="P151" s="7">
        <v>7414.57</v>
      </c>
      <c r="Q151" s="2"/>
      <c r="R151" s="6">
        <f t="shared" si="101"/>
        <v>3.1625578321524813E-3</v>
      </c>
      <c r="S151" s="2"/>
      <c r="T151" s="7">
        <v>2289.3000000000002</v>
      </c>
      <c r="U151" s="2"/>
      <c r="V151" s="6">
        <f t="shared" si="102"/>
        <v>1.8886668316386722E-3</v>
      </c>
      <c r="W151" s="2"/>
      <c r="X151" s="7">
        <f t="shared" si="103"/>
        <v>5125.2699999999995</v>
      </c>
      <c r="Y151" s="2"/>
      <c r="Z151" s="6">
        <f t="shared" si="104"/>
        <v>2.2387935176691562</v>
      </c>
    </row>
    <row r="152" spans="1:26" s="29" customFormat="1" outlineLevel="1" collapsed="1" x14ac:dyDescent="0.3">
      <c r="A152" s="28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SUM(OSRRefD22_19x_0)</f>
        <v>602.58000000000004</v>
      </c>
      <c r="E152" s="1"/>
      <c r="F152" s="5">
        <f t="shared" ref="F152:F159" si="105">IF(D$12=0,0,D152/D$12)</f>
        <v>3.3122735516457531E-3</v>
      </c>
      <c r="G152" s="1"/>
      <c r="H152" s="1">
        <f>SUM(OSRRefH22_19x_0)</f>
        <v>391.09</v>
      </c>
      <c r="I152" s="1"/>
      <c r="J152" s="5">
        <f t="shared" ref="J152:J159" si="106">IF(H$12=0,0,H152/H$12)</f>
        <v>2.4398539718481927E-3</v>
      </c>
      <c r="K152" s="1"/>
      <c r="L152" s="1">
        <f t="shared" ref="L152:L159" si="107">+D152-H152</f>
        <v>211.49000000000007</v>
      </c>
      <c r="M152" s="1"/>
      <c r="N152" s="5">
        <f t="shared" ref="N152:N159" si="108">IF(H152=0,0,L152/H152)</f>
        <v>0.54077066659848139</v>
      </c>
      <c r="O152" s="14"/>
      <c r="P152" s="1">
        <f>SUM(OSRRefP22_19x_0)</f>
        <v>3913.92</v>
      </c>
      <c r="Q152" s="1"/>
      <c r="R152" s="5">
        <f t="shared" ref="R152:R159" si="109">IF(P$12=0,0,P152/P$12)</f>
        <v>1.6694155359539718E-3</v>
      </c>
      <c r="S152" s="1"/>
      <c r="T152" s="1">
        <f>SUM(OSRRefT22_19x_0)</f>
        <v>5386.84</v>
      </c>
      <c r="U152" s="1"/>
      <c r="V152" s="5">
        <f t="shared" ref="V152:V159" si="110">IF(T$12=0,0,T152/T$12)</f>
        <v>4.4441296620558535E-3</v>
      </c>
      <c r="W152" s="1"/>
      <c r="X152" s="1">
        <f t="shared" ref="X152:X159" si="111">+P152-T152</f>
        <v>-1472.92</v>
      </c>
      <c r="Y152" s="1"/>
      <c r="Z152" s="5">
        <f t="shared" ref="Z152:Z159" si="112">IF(T152=0,0,X152/T152)</f>
        <v>-0.2734293203436523</v>
      </c>
    </row>
    <row r="153" spans="1:26" s="24" customFormat="1" hidden="1" outlineLevel="2" x14ac:dyDescent="0.3">
      <c r="A153" s="27"/>
      <c r="B153" s="11" t="str">
        <f>CONCATENATE("          ", "6309", " - ", "TELEPHONE")</f>
        <v xml:space="preserve">          6309 - TELEPHONE</v>
      </c>
      <c r="C153" s="11"/>
      <c r="D153" s="7">
        <v>602.58000000000004</v>
      </c>
      <c r="E153" s="2"/>
      <c r="F153" s="6">
        <f t="shared" si="105"/>
        <v>3.3122735516457531E-3</v>
      </c>
      <c r="G153" s="2"/>
      <c r="H153" s="7">
        <v>391.09</v>
      </c>
      <c r="I153" s="2"/>
      <c r="J153" s="6">
        <f t="shared" si="106"/>
        <v>2.4398539718481927E-3</v>
      </c>
      <c r="K153" s="2"/>
      <c r="L153" s="7">
        <f t="shared" si="107"/>
        <v>211.49000000000007</v>
      </c>
      <c r="M153" s="2"/>
      <c r="N153" s="6">
        <f t="shared" si="108"/>
        <v>0.54077066659848139</v>
      </c>
      <c r="O153" s="11"/>
      <c r="P153" s="7">
        <v>3913.92</v>
      </c>
      <c r="Q153" s="2"/>
      <c r="R153" s="6">
        <f t="shared" si="109"/>
        <v>1.6694155359539718E-3</v>
      </c>
      <c r="S153" s="2"/>
      <c r="T153" s="7">
        <v>5386.84</v>
      </c>
      <c r="U153" s="2"/>
      <c r="V153" s="6">
        <f t="shared" si="110"/>
        <v>4.4441296620558535E-3</v>
      </c>
      <c r="W153" s="2"/>
      <c r="X153" s="7">
        <f t="shared" si="111"/>
        <v>-1472.92</v>
      </c>
      <c r="Y153" s="2"/>
      <c r="Z153" s="6">
        <f t="shared" si="112"/>
        <v>-0.2734293203436523</v>
      </c>
    </row>
    <row r="154" spans="1:26" s="29" customFormat="1" outlineLevel="1" collapsed="1" x14ac:dyDescent="0.3">
      <c r="A154" s="28"/>
      <c r="B154" s="14" t="str">
        <f>CONCATENATE("     ","Training                                          ")</f>
        <v xml:space="preserve">     Training                                          </v>
      </c>
      <c r="C154" s="14"/>
      <c r="D154" s="1">
        <f>SUM(OSRRefD22_20x_0)</f>
        <v>0</v>
      </c>
      <c r="E154" s="1"/>
      <c r="F154" s="5">
        <f t="shared" si="105"/>
        <v>0</v>
      </c>
      <c r="G154" s="1"/>
      <c r="H154" s="1">
        <f>SUM(OSRRefH22_20x_0)</f>
        <v>0</v>
      </c>
      <c r="I154" s="1"/>
      <c r="J154" s="5">
        <f t="shared" si="106"/>
        <v>0</v>
      </c>
      <c r="K154" s="1"/>
      <c r="L154" s="1">
        <f t="shared" si="107"/>
        <v>0</v>
      </c>
      <c r="M154" s="1"/>
      <c r="N154" s="5">
        <f t="shared" si="108"/>
        <v>0</v>
      </c>
      <c r="O154" s="14"/>
      <c r="P154" s="1">
        <f>SUM(OSRRefP22_20x_0)</f>
        <v>0</v>
      </c>
      <c r="Q154" s="1"/>
      <c r="R154" s="5">
        <f t="shared" si="109"/>
        <v>0</v>
      </c>
      <c r="S154" s="1"/>
      <c r="T154" s="1">
        <f>SUM(OSRRefT22_20x_0)</f>
        <v>14</v>
      </c>
      <c r="U154" s="1"/>
      <c r="V154" s="5">
        <f t="shared" si="110"/>
        <v>1.154996533566654E-5</v>
      </c>
      <c r="W154" s="1"/>
      <c r="X154" s="1">
        <f t="shared" si="111"/>
        <v>-14</v>
      </c>
      <c r="Y154" s="1"/>
      <c r="Z154" s="5">
        <f t="shared" si="112"/>
        <v>-1</v>
      </c>
    </row>
    <row r="155" spans="1:26" s="24" customFormat="1" hidden="1" outlineLevel="2" x14ac:dyDescent="0.3">
      <c r="A155" s="27"/>
      <c r="B155" s="11" t="str">
        <f>CONCATENATE("          ", "6376", " - ", "TRAINING")</f>
        <v xml:space="preserve">          6376 - TRAINING</v>
      </c>
      <c r="C155" s="11"/>
      <c r="D155" s="7"/>
      <c r="E155" s="2"/>
      <c r="F155" s="6">
        <f t="shared" si="105"/>
        <v>0</v>
      </c>
      <c r="G155" s="2"/>
      <c r="H155" s="7"/>
      <c r="I155" s="2"/>
      <c r="J155" s="6">
        <f t="shared" si="106"/>
        <v>0</v>
      </c>
      <c r="K155" s="2"/>
      <c r="L155" s="7">
        <f t="shared" si="107"/>
        <v>0</v>
      </c>
      <c r="M155" s="2"/>
      <c r="N155" s="6">
        <f t="shared" si="108"/>
        <v>0</v>
      </c>
      <c r="O155" s="11"/>
      <c r="P155" s="7"/>
      <c r="Q155" s="2"/>
      <c r="R155" s="6">
        <f t="shared" si="109"/>
        <v>0</v>
      </c>
      <c r="S155" s="2"/>
      <c r="T155" s="7">
        <v>14</v>
      </c>
      <c r="U155" s="2"/>
      <c r="V155" s="6">
        <f t="shared" si="110"/>
        <v>1.154996533566654E-5</v>
      </c>
      <c r="W155" s="2"/>
      <c r="X155" s="7">
        <f t="shared" si="111"/>
        <v>-14</v>
      </c>
      <c r="Y155" s="2"/>
      <c r="Z155" s="6">
        <f t="shared" si="112"/>
        <v>-1</v>
      </c>
    </row>
    <row r="156" spans="1:26" s="29" customFormat="1" outlineLevel="1" collapsed="1" x14ac:dyDescent="0.3">
      <c r="A156" s="28"/>
      <c r="B156" s="14" t="str">
        <f>CONCATENATE("     ","Travel                                            ")</f>
        <v xml:space="preserve">     Travel                                            </v>
      </c>
      <c r="C156" s="14"/>
      <c r="D156" s="1">
        <f>SUM(OSRRefD22_21x_0)</f>
        <v>0</v>
      </c>
      <c r="E156" s="1"/>
      <c r="F156" s="5">
        <f t="shared" si="105"/>
        <v>0</v>
      </c>
      <c r="G156" s="1"/>
      <c r="H156" s="1">
        <f>SUM(OSRRefH22_21x_0)</f>
        <v>129.38</v>
      </c>
      <c r="I156" s="1"/>
      <c r="J156" s="5">
        <f t="shared" si="106"/>
        <v>8.0715003420624197E-4</v>
      </c>
      <c r="K156" s="1"/>
      <c r="L156" s="1">
        <f t="shared" si="107"/>
        <v>-129.38</v>
      </c>
      <c r="M156" s="1"/>
      <c r="N156" s="5">
        <f t="shared" si="108"/>
        <v>-1</v>
      </c>
      <c r="O156" s="14"/>
      <c r="P156" s="1">
        <f>SUM(OSRRefP22_21x_0)</f>
        <v>239.93</v>
      </c>
      <c r="Q156" s="1"/>
      <c r="R156" s="5">
        <f t="shared" si="109"/>
        <v>1.0233803183034821E-4</v>
      </c>
      <c r="S156" s="1"/>
      <c r="T156" s="1">
        <f>SUM(OSRRefT22_21x_0)</f>
        <v>451.26</v>
      </c>
      <c r="U156" s="1"/>
      <c r="V156" s="5">
        <f t="shared" si="110"/>
        <v>3.722883826694916E-4</v>
      </c>
      <c r="W156" s="1"/>
      <c r="X156" s="1">
        <f t="shared" si="111"/>
        <v>-211.32999999999998</v>
      </c>
      <c r="Y156" s="1"/>
      <c r="Z156" s="5">
        <f t="shared" si="112"/>
        <v>-0.46831095155786018</v>
      </c>
    </row>
    <row r="157" spans="1:26" s="24" customFormat="1" hidden="1" outlineLevel="2" x14ac:dyDescent="0.3">
      <c r="A157" s="27"/>
      <c r="B157" s="11" t="str">
        <f>CONCATENATE("          ", "6294", " - ", "TRAVEL OPERATIONAL")</f>
        <v xml:space="preserve">          6294 - TRAVEL OPERATIONAL</v>
      </c>
      <c r="C157" s="11"/>
      <c r="D157" s="7"/>
      <c r="E157" s="2"/>
      <c r="F157" s="6">
        <f t="shared" si="105"/>
        <v>0</v>
      </c>
      <c r="G157" s="2"/>
      <c r="H157" s="7">
        <v>129.38</v>
      </c>
      <c r="I157" s="2"/>
      <c r="J157" s="6">
        <f t="shared" si="106"/>
        <v>8.0715003420624197E-4</v>
      </c>
      <c r="K157" s="2"/>
      <c r="L157" s="7">
        <f t="shared" si="107"/>
        <v>-129.38</v>
      </c>
      <c r="M157" s="2"/>
      <c r="N157" s="6">
        <f t="shared" si="108"/>
        <v>-1</v>
      </c>
      <c r="O157" s="11"/>
      <c r="P157" s="7">
        <v>239.93</v>
      </c>
      <c r="Q157" s="2"/>
      <c r="R157" s="6">
        <f t="shared" si="109"/>
        <v>1.0233803183034821E-4</v>
      </c>
      <c r="S157" s="2"/>
      <c r="T157" s="7">
        <v>451.26</v>
      </c>
      <c r="U157" s="2"/>
      <c r="V157" s="6">
        <f t="shared" si="110"/>
        <v>3.722883826694916E-4</v>
      </c>
      <c r="W157" s="2"/>
      <c r="X157" s="7">
        <f t="shared" si="111"/>
        <v>-211.32999999999998</v>
      </c>
      <c r="Y157" s="2"/>
      <c r="Z157" s="6">
        <f t="shared" si="112"/>
        <v>-0.46831095155786018</v>
      </c>
    </row>
    <row r="158" spans="1:26" s="29" customFormat="1" outlineLevel="1" collapsed="1" x14ac:dyDescent="0.3">
      <c r="A158" s="28"/>
      <c r="B158" s="14" t="str">
        <f>CONCATENATE("     ","Utilities                                         ")</f>
        <v xml:space="preserve">     Utilities                                         </v>
      </c>
      <c r="C158" s="14"/>
      <c r="D158" s="1">
        <f>SUM(OSRRefD22_22x_0)</f>
        <v>292.91000000000003</v>
      </c>
      <c r="E158" s="1"/>
      <c r="F158" s="5">
        <f t="shared" si="105"/>
        <v>1.6100734276155158E-3</v>
      </c>
      <c r="G158" s="1"/>
      <c r="H158" s="1">
        <f>SUM(OSRRefH22_22x_0)</f>
        <v>32.61</v>
      </c>
      <c r="I158" s="1"/>
      <c r="J158" s="5">
        <f t="shared" si="106"/>
        <v>2.0344073748234311E-4</v>
      </c>
      <c r="K158" s="1"/>
      <c r="L158" s="1">
        <f t="shared" si="107"/>
        <v>260.3</v>
      </c>
      <c r="M158" s="1"/>
      <c r="N158" s="5">
        <f t="shared" si="108"/>
        <v>7.9822140447715428</v>
      </c>
      <c r="O158" s="14"/>
      <c r="P158" s="1">
        <f>SUM(OSRRefP22_22x_0)</f>
        <v>539.41999999999996</v>
      </c>
      <c r="Q158" s="1"/>
      <c r="R158" s="5">
        <f t="shared" si="109"/>
        <v>2.3008036148012515E-4</v>
      </c>
      <c r="S158" s="1"/>
      <c r="T158" s="1">
        <f>SUM(OSRRefT22_22x_0)</f>
        <v>177.01</v>
      </c>
      <c r="U158" s="1"/>
      <c r="V158" s="5">
        <f t="shared" si="110"/>
        <v>1.4603281171902388E-4</v>
      </c>
      <c r="W158" s="1"/>
      <c r="X158" s="1">
        <f t="shared" si="111"/>
        <v>362.40999999999997</v>
      </c>
      <c r="Y158" s="1"/>
      <c r="Z158" s="5">
        <f t="shared" si="112"/>
        <v>2.0473984520648552</v>
      </c>
    </row>
    <row r="159" spans="1:26" s="24" customFormat="1" hidden="1" outlineLevel="2" x14ac:dyDescent="0.3">
      <c r="A159" s="27"/>
      <c r="B159" s="11" t="str">
        <f>CONCATENATE("          ", "6274", " - ", "UTILITIES")</f>
        <v xml:space="preserve">          6274 - UTILITIES</v>
      </c>
      <c r="C159" s="11"/>
      <c r="D159" s="7">
        <v>292.91000000000003</v>
      </c>
      <c r="E159" s="2"/>
      <c r="F159" s="6">
        <f t="shared" si="105"/>
        <v>1.6100734276155158E-3</v>
      </c>
      <c r="G159" s="2"/>
      <c r="H159" s="7">
        <v>32.61</v>
      </c>
      <c r="I159" s="2"/>
      <c r="J159" s="6">
        <f t="shared" si="106"/>
        <v>2.0344073748234311E-4</v>
      </c>
      <c r="K159" s="2"/>
      <c r="L159" s="7">
        <f t="shared" si="107"/>
        <v>260.3</v>
      </c>
      <c r="M159" s="2"/>
      <c r="N159" s="6">
        <f t="shared" si="108"/>
        <v>7.9822140447715428</v>
      </c>
      <c r="O159" s="11"/>
      <c r="P159" s="7">
        <v>539.41999999999996</v>
      </c>
      <c r="Q159" s="2"/>
      <c r="R159" s="6">
        <f t="shared" si="109"/>
        <v>2.3008036148012515E-4</v>
      </c>
      <c r="S159" s="2"/>
      <c r="T159" s="7">
        <v>177.01</v>
      </c>
      <c r="U159" s="2"/>
      <c r="V159" s="6">
        <f t="shared" si="110"/>
        <v>1.4603281171902388E-4</v>
      </c>
      <c r="W159" s="2"/>
      <c r="X159" s="7">
        <f t="shared" si="111"/>
        <v>362.40999999999997</v>
      </c>
      <c r="Y159" s="2"/>
      <c r="Z159" s="6">
        <f t="shared" si="112"/>
        <v>2.0473984520648552</v>
      </c>
    </row>
    <row r="160" spans="1:26" s="52" customFormat="1" x14ac:dyDescent="0.3">
      <c r="A160" s="37"/>
      <c r="B160" s="37"/>
      <c r="C160" s="37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collapsed="1" x14ac:dyDescent="0.3">
      <c r="A161" s="10"/>
      <c r="B161" s="26" t="s">
        <v>292</v>
      </c>
      <c r="C161" s="10"/>
      <c r="D161" s="4">
        <f>SUM(OSRRefD25x_0)</f>
        <v>39149.25</v>
      </c>
      <c r="E161" s="4"/>
      <c r="F161" s="12">
        <f t="shared" ref="F161:F163" si="113">IF(D$12=0,0,D161/D$12)</f>
        <v>0.21519636453544339</v>
      </c>
      <c r="G161" s="4"/>
      <c r="H161" s="4">
        <f>SUM(OSRRefH25x_0)</f>
        <v>15571.57</v>
      </c>
      <c r="I161" s="4"/>
      <c r="J161" s="12">
        <f t="shared" ref="J161:J163" si="114">IF(H$12=0,0,H161/H$12)</f>
        <v>9.7144792534741786E-2</v>
      </c>
      <c r="K161" s="4"/>
      <c r="L161" s="4">
        <f t="shared" ref="L161:L163" si="115">+D161-H161</f>
        <v>23577.68</v>
      </c>
      <c r="M161" s="4"/>
      <c r="N161" s="12">
        <f t="shared" ref="N161:N163" si="116">IF(H161=0,0,L161/H161)</f>
        <v>1.5141491834156735</v>
      </c>
      <c r="O161" s="10"/>
      <c r="P161" s="4">
        <f>SUM(OSRRefP25x_0)</f>
        <v>158502.37</v>
      </c>
      <c r="Q161" s="4"/>
      <c r="R161" s="12">
        <f t="shared" ref="R161:R163" si="117">IF(P$12=0,0,P161/P$12)</f>
        <v>6.7606470996730825E-2</v>
      </c>
      <c r="S161" s="4"/>
      <c r="T161" s="4">
        <f>SUM(OSRRefT25x_0)</f>
        <v>221779.15</v>
      </c>
      <c r="U161" s="4"/>
      <c r="V161" s="12">
        <f t="shared" ref="V161:V163" si="118">IF(T$12=0,0,T161/T$12)</f>
        <v>0.18296724961954214</v>
      </c>
      <c r="W161" s="4"/>
      <c r="X161" s="4">
        <f t="shared" ref="X161:X163" si="119">+P161-T161</f>
        <v>-63276.78</v>
      </c>
      <c r="Y161" s="4"/>
      <c r="Z161" s="12">
        <f t="shared" ref="Z161:Z163" si="120">IF(T161=0,0,X161/T161)</f>
        <v>-0.28531437693759759</v>
      </c>
    </row>
    <row r="162" spans="1:26" s="24" customFormat="1" hidden="1" outlineLevel="1" x14ac:dyDescent="0.3">
      <c r="A162" s="44"/>
      <c r="B162" s="11" t="str">
        <f>CONCATENATE("          ", "9150", " - ", "MISC. INCOME")</f>
        <v xml:space="preserve">          9150 - MISC. INCOME</v>
      </c>
      <c r="C162" s="11"/>
      <c r="D162" s="2">
        <f>--32121.75</f>
        <v>32121.75</v>
      </c>
      <c r="E162" s="2"/>
      <c r="F162" s="19">
        <f t="shared" si="113"/>
        <v>0.17656746483052368</v>
      </c>
      <c r="G162" s="2"/>
      <c r="H162" s="2">
        <f>--15571.57</f>
        <v>15571.57</v>
      </c>
      <c r="I162" s="2"/>
      <c r="J162" s="19">
        <f t="shared" si="114"/>
        <v>9.7144792534741786E-2</v>
      </c>
      <c r="K162" s="2"/>
      <c r="L162" s="2">
        <f t="shared" si="115"/>
        <v>16550.18</v>
      </c>
      <c r="M162" s="2"/>
      <c r="N162" s="19">
        <f t="shared" si="116"/>
        <v>1.0628459429588668</v>
      </c>
      <c r="O162" s="11"/>
      <c r="P162" s="2">
        <f>--78726.67</f>
        <v>78726.67</v>
      </c>
      <c r="Q162" s="2"/>
      <c r="R162" s="19">
        <f t="shared" si="117"/>
        <v>3.3579512609333215E-2</v>
      </c>
      <c r="S162" s="2"/>
      <c r="T162" s="2">
        <f>--46373.31</f>
        <v>46373.31</v>
      </c>
      <c r="U162" s="2"/>
      <c r="V162" s="19">
        <f t="shared" si="118"/>
        <v>3.8257865928579889E-2</v>
      </c>
      <c r="W162" s="2"/>
      <c r="X162" s="2">
        <f t="shared" si="119"/>
        <v>32353.360000000001</v>
      </c>
      <c r="Y162" s="2"/>
      <c r="Z162" s="19">
        <f t="shared" si="120"/>
        <v>0.69767200141633201</v>
      </c>
    </row>
    <row r="163" spans="1:26" s="24" customFormat="1" hidden="1" outlineLevel="1" x14ac:dyDescent="0.3">
      <c r="A163" s="44"/>
      <c r="B163" s="11" t="str">
        <f>CONCATENATE("          ", "9163", " - ", "MISC. INCOME")</f>
        <v xml:space="preserve">          9163 - MISC. INCOME</v>
      </c>
      <c r="C163" s="11"/>
      <c r="D163" s="2">
        <f>--7027.5</f>
        <v>7027.5</v>
      </c>
      <c r="E163" s="2"/>
      <c r="F163" s="19">
        <f t="shared" si="113"/>
        <v>3.8628899704919721E-2</v>
      </c>
      <c r="G163" s="2"/>
      <c r="H163" s="2">
        <f>0</f>
        <v>0</v>
      </c>
      <c r="I163" s="2"/>
      <c r="J163" s="19">
        <f t="shared" si="114"/>
        <v>0</v>
      </c>
      <c r="K163" s="2"/>
      <c r="L163" s="2">
        <f t="shared" si="115"/>
        <v>7027.5</v>
      </c>
      <c r="M163" s="2"/>
      <c r="N163" s="19">
        <f t="shared" si="116"/>
        <v>0</v>
      </c>
      <c r="O163" s="11"/>
      <c r="P163" s="2">
        <f>--79775.7</f>
        <v>79775.7</v>
      </c>
      <c r="Q163" s="2"/>
      <c r="R163" s="19">
        <f t="shared" si="117"/>
        <v>3.402695838739761E-2</v>
      </c>
      <c r="S163" s="2"/>
      <c r="T163" s="2">
        <f>--175405.84</f>
        <v>175405.84</v>
      </c>
      <c r="U163" s="2"/>
      <c r="V163" s="19">
        <f t="shared" si="118"/>
        <v>0.14470938369096223</v>
      </c>
      <c r="W163" s="2"/>
      <c r="X163" s="2">
        <f t="shared" si="119"/>
        <v>-95630.14</v>
      </c>
      <c r="Y163" s="2"/>
      <c r="Z163" s="19">
        <f t="shared" si="120"/>
        <v>-0.54519359218598429</v>
      </c>
    </row>
    <row r="164" spans="1:26" x14ac:dyDescent="0.3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3">
      <c r="A165" s="10"/>
      <c r="B165" s="25" t="s">
        <v>276</v>
      </c>
      <c r="C165" s="25"/>
      <c r="D165" s="21">
        <f>+D85-D87+D161</f>
        <v>-213.67999999997846</v>
      </c>
      <c r="E165" s="13"/>
      <c r="F165" s="22">
        <f>IF(D$12=0,0,D165/D$12)</f>
        <v>-1.1745604110916278E-3</v>
      </c>
      <c r="G165" s="13"/>
      <c r="H165" s="21">
        <f>+H85-H87+H161</f>
        <v>12124.900000000089</v>
      </c>
      <c r="I165" s="13"/>
      <c r="J165" s="22">
        <f>IF(H$12=0,0,H165/H$12)</f>
        <v>7.5642397973004608E-2</v>
      </c>
      <c r="K165" s="15"/>
      <c r="L165" s="21">
        <f>+D165-H165</f>
        <v>-12338.580000000067</v>
      </c>
      <c r="M165" s="15"/>
      <c r="N165" s="22">
        <f>IF(H165=0,0,L165/H165)</f>
        <v>-1.0176232381297972</v>
      </c>
      <c r="O165" s="26"/>
      <c r="P165" s="21">
        <f>+P85-P87+P161</f>
        <v>627867.37000000034</v>
      </c>
      <c r="Q165" s="13"/>
      <c r="R165" s="22">
        <f>IF(P$12=0,0,P165/P$12)</f>
        <v>0.26780607217228797</v>
      </c>
      <c r="S165" s="13"/>
      <c r="T165" s="21">
        <f>+T85-T87+T161</f>
        <v>240137.97999999943</v>
      </c>
      <c r="U165" s="13"/>
      <c r="V165" s="22">
        <f>IF(T$12=0,0,T165/T$12)</f>
        <v>0.19811323891264129</v>
      </c>
      <c r="W165" s="15"/>
      <c r="X165" s="21">
        <f>+P165-T165</f>
        <v>387729.39000000095</v>
      </c>
      <c r="Y165" s="15"/>
      <c r="Z165" s="22">
        <f>IF(T165=0,0,X165/T165)</f>
        <v>1.6146108583073859</v>
      </c>
    </row>
    <row r="166" spans="1:26" x14ac:dyDescent="0.3">
      <c r="A166" s="9"/>
      <c r="B166" s="10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3">
      <c r="A167" s="51"/>
      <c r="B167" s="10" t="s">
        <v>127</v>
      </c>
      <c r="C167" s="10"/>
      <c r="D167" s="4">
        <v>50024.08</v>
      </c>
      <c r="E167" s="4"/>
      <c r="F167" s="12">
        <f>IF(D$12=0,0,D167/D$12)</f>
        <v>0.2749733431733733</v>
      </c>
      <c r="G167" s="4"/>
      <c r="H167" s="4">
        <v>19684.830000000002</v>
      </c>
      <c r="I167" s="4"/>
      <c r="J167" s="12">
        <f>IF(H$12=0,0,H167/H$12)</f>
        <v>0.12280577529636776</v>
      </c>
      <c r="K167" s="4"/>
      <c r="L167" s="4">
        <f>+D167-H167</f>
        <v>30339.25</v>
      </c>
      <c r="M167" s="4"/>
      <c r="N167" s="12">
        <f>IF(H167=0,0,L167/H167)</f>
        <v>1.5412502927381135</v>
      </c>
      <c r="O167" s="10"/>
      <c r="P167" s="4">
        <v>310333.38</v>
      </c>
      <c r="Q167" s="4"/>
      <c r="R167" s="12">
        <f>IF(P$12=0,0,P167/P$12)</f>
        <v>0.13236738765664796</v>
      </c>
      <c r="S167" s="4"/>
      <c r="T167" s="4">
        <v>220032.73</v>
      </c>
      <c r="U167" s="4"/>
      <c r="V167" s="12">
        <f>IF(T$12=0,0,T167/T$12)</f>
        <v>0.18152645744371967</v>
      </c>
      <c r="W167" s="4"/>
      <c r="X167" s="4">
        <f>+P167-T167</f>
        <v>90300.65</v>
      </c>
      <c r="Y167" s="4"/>
      <c r="Z167" s="12">
        <f>IF(T167=0,0,X167/T167)</f>
        <v>0.41039644420173305</v>
      </c>
    </row>
    <row r="168" spans="1:26" x14ac:dyDescent="0.3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" thickBot="1" x14ac:dyDescent="0.35">
      <c r="A169" s="10"/>
      <c r="B169" s="25" t="s">
        <v>125</v>
      </c>
      <c r="C169" s="25"/>
      <c r="D169" s="36">
        <f>+D165-D167</f>
        <v>-50237.75999999998</v>
      </c>
      <c r="E169" s="13"/>
      <c r="F169" s="31">
        <f>IF(D$12=0,0,D169/D$12)</f>
        <v>-0.27614790358446489</v>
      </c>
      <c r="G169" s="13"/>
      <c r="H169" s="36">
        <f>+H165-H167</f>
        <v>-7559.929999999913</v>
      </c>
      <c r="I169" s="13"/>
      <c r="J169" s="31">
        <f>IF(H$12=0,0,H169/H$12)</f>
        <v>-4.7163377323363155E-2</v>
      </c>
      <c r="K169" s="15"/>
      <c r="L169" s="36">
        <f>D169-H169</f>
        <v>-42677.830000000067</v>
      </c>
      <c r="M169" s="15"/>
      <c r="N169" s="31">
        <f>IF(H169=0,0,L169/H169)</f>
        <v>5.6452678794645665</v>
      </c>
      <c r="O169" s="26"/>
      <c r="P169" s="36">
        <f>+P165-P167</f>
        <v>317533.99000000034</v>
      </c>
      <c r="Q169" s="13"/>
      <c r="R169" s="31">
        <f>IF(P$12=0,0,P169/P$12)</f>
        <v>0.13543868451563998</v>
      </c>
      <c r="S169" s="13"/>
      <c r="T169" s="36">
        <f>+T165-T167</f>
        <v>20105.249999999418</v>
      </c>
      <c r="U169" s="13"/>
      <c r="V169" s="31">
        <f>IF(T$12=0,0,T169/T$12)</f>
        <v>1.6586781468921643E-2</v>
      </c>
      <c r="W169" s="15"/>
      <c r="X169" s="36">
        <f>P169-T169</f>
        <v>297428.74000000092</v>
      </c>
      <c r="Y169" s="15"/>
      <c r="Z169" s="31">
        <f>IF(T169=0,0,X169/T169)</f>
        <v>14.793585754964974</v>
      </c>
    </row>
    <row r="170" spans="1:26" ht="15" thickTop="1" x14ac:dyDescent="0.3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x14ac:dyDescent="0.3">
      <c r="A171" s="9"/>
      <c r="B171" s="9"/>
      <c r="C171" s="9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" thickBot="1" x14ac:dyDescent="0.35">
      <c r="A172" s="10"/>
      <c r="B172" s="25" t="s">
        <v>293</v>
      </c>
      <c r="C172" s="25"/>
      <c r="D172" s="35">
        <f>SUM(D169:D171)</f>
        <v>-50237.75999999998</v>
      </c>
      <c r="E172" s="13"/>
      <c r="F172" s="32">
        <f>IF(D$12=0,0,D172/D$12)</f>
        <v>-0.27614790358446489</v>
      </c>
      <c r="G172" s="13"/>
      <c r="H172" s="35">
        <f>SUM(H169:H171)</f>
        <v>-7559.929999999913</v>
      </c>
      <c r="I172" s="13"/>
      <c r="J172" s="32">
        <f>IF(H$12=0,0,H172/H$12)</f>
        <v>-4.7163377323363155E-2</v>
      </c>
      <c r="K172" s="15"/>
      <c r="L172" s="35">
        <f>+D172-H172</f>
        <v>-42677.830000000067</v>
      </c>
      <c r="M172" s="15"/>
      <c r="N172" s="32">
        <f>IF(H172=0,0,L172/H172)</f>
        <v>5.6452678794645665</v>
      </c>
      <c r="O172" s="26"/>
      <c r="P172" s="35">
        <f>SUM(P169:P171)</f>
        <v>317533.99000000034</v>
      </c>
      <c r="Q172" s="13"/>
      <c r="R172" s="32">
        <f>IF(P$12=0,0,P172/P$12)</f>
        <v>0.13543868451563998</v>
      </c>
      <c r="S172" s="13"/>
      <c r="T172" s="35">
        <f>SUM(T169:T171)</f>
        <v>20105.249999999418</v>
      </c>
      <c r="U172" s="13"/>
      <c r="V172" s="32">
        <f>IF(T$12=0,0,T172/T$12)</f>
        <v>1.6586781468921643E-2</v>
      </c>
      <c r="W172" s="15"/>
      <c r="X172" s="35">
        <f>+P172-T172</f>
        <v>297428.74000000092</v>
      </c>
      <c r="Y172" s="15"/>
      <c r="Z172" s="32">
        <f>IF(T172=0,0,X172/T172)</f>
        <v>14.793585754964974</v>
      </c>
    </row>
    <row r="173" spans="1:26" ht="15" thickTop="1" x14ac:dyDescent="0.3">
      <c r="A173" s="9"/>
      <c r="C173" s="9"/>
      <c r="D173" s="17"/>
      <c r="E173" s="17"/>
      <c r="G173" s="17"/>
      <c r="H173" s="17"/>
      <c r="I173" s="17"/>
      <c r="J173" s="42"/>
      <c r="K173" s="17"/>
      <c r="L173" s="17"/>
      <c r="M173" s="17"/>
      <c r="P173" s="17"/>
      <c r="Q173" s="17"/>
      <c r="R173" s="42"/>
      <c r="S173" s="17"/>
      <c r="T173" s="17"/>
      <c r="U173" s="17"/>
      <c r="V173" s="42"/>
      <c r="W173" s="17"/>
      <c r="X173" s="17"/>
    </row>
    <row r="174" spans="1:26" x14ac:dyDescent="0.3">
      <c r="A174" s="9"/>
      <c r="B174" s="54">
        <v>44604.028415011577</v>
      </c>
      <c r="D174" s="17"/>
      <c r="E174" s="17"/>
      <c r="G174" s="17"/>
      <c r="H174" s="17"/>
      <c r="I174" s="17"/>
      <c r="J174" s="42"/>
      <c r="K174" s="17"/>
      <c r="L174" s="17"/>
      <c r="M174" s="17"/>
      <c r="P174" s="17"/>
      <c r="Q174" s="17"/>
      <c r="R174" s="42"/>
      <c r="S174" s="17"/>
      <c r="T174" s="17"/>
      <c r="U174" s="17"/>
      <c r="V174" s="42"/>
      <c r="W174" s="17"/>
      <c r="X174" s="17"/>
    </row>
    <row r="175" spans="1:26" x14ac:dyDescent="0.3">
      <c r="A175" s="9"/>
      <c r="B175" s="53" t="s">
        <v>56</v>
      </c>
      <c r="D175" s="17"/>
      <c r="E175" s="17"/>
      <c r="G175" s="17"/>
      <c r="H175" s="17"/>
      <c r="I175" s="17"/>
      <c r="J175" s="42"/>
      <c r="K175" s="17"/>
      <c r="L175" s="17"/>
      <c r="M175" s="17"/>
      <c r="P175" s="17"/>
      <c r="Q175" s="17"/>
      <c r="R175" s="42"/>
      <c r="S175" s="17"/>
      <c r="T175" s="17"/>
      <c r="U175" s="17"/>
      <c r="V175" s="42"/>
      <c r="W175" s="17"/>
      <c r="X175" s="17"/>
    </row>
    <row r="176" spans="1:26" x14ac:dyDescent="0.3">
      <c r="A176" s="9"/>
      <c r="B176" s="59"/>
      <c r="D176" s="17"/>
      <c r="E176" s="17"/>
      <c r="G176" s="17"/>
      <c r="H176" s="17"/>
      <c r="I176" s="17"/>
      <c r="J176" s="42"/>
      <c r="K176" s="17"/>
      <c r="L176" s="17"/>
      <c r="M176" s="17"/>
      <c r="P176" s="17"/>
      <c r="Q176" s="17"/>
      <c r="R176" s="42"/>
      <c r="S176" s="17"/>
      <c r="T176" s="17"/>
      <c r="U176" s="17"/>
      <c r="V176" s="42"/>
      <c r="W176" s="17"/>
      <c r="X176" s="17"/>
    </row>
    <row r="177" spans="4:24" x14ac:dyDescent="0.3">
      <c r="D177" s="17"/>
      <c r="E177" s="17"/>
      <c r="G177" s="17"/>
      <c r="H177" s="17"/>
      <c r="I177" s="17"/>
      <c r="J177" s="42"/>
      <c r="K177" s="17"/>
      <c r="L177" s="17"/>
      <c r="M177" s="17"/>
      <c r="P177" s="17"/>
      <c r="Q177" s="17"/>
      <c r="R177" s="42"/>
      <c r="S177" s="17"/>
      <c r="T177" s="17"/>
      <c r="U177" s="17"/>
      <c r="V177" s="42"/>
      <c r="W177" s="17"/>
      <c r="X177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","307", " - ", "Art Store")</f>
        <v>Department 307 - Art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6007.46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5" si="0">+D12-H12</f>
        <v>6007.46</v>
      </c>
      <c r="M12" s="4"/>
      <c r="N12" s="12">
        <f t="shared" ref="N12:N25" si="1">IF(H12=0,0,L12/H12)</f>
        <v>0</v>
      </c>
      <c r="O12" s="10"/>
      <c r="P12" s="4">
        <f>SUM(OSRRefP13x_0)</f>
        <v>99935.78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5" si="2">+P12-T12</f>
        <v>78623.86</v>
      </c>
      <c r="Y12" s="4"/>
      <c r="Z12" s="12">
        <f t="shared" ref="Z12:Z25" si="3">IF(T12=0,0,X12/T12)</f>
        <v>3.6891964684552123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--5795.29</f>
        <v>5795.29</v>
      </c>
      <c r="E13" s="2"/>
      <c r="F13" s="19"/>
      <c r="G13" s="2"/>
      <c r="H13" s="2">
        <f t="shared" ref="H13:H25" si="4">0</f>
        <v>0</v>
      </c>
      <c r="I13" s="2"/>
      <c r="J13" s="19"/>
      <c r="K13" s="2"/>
      <c r="L13" s="2">
        <f t="shared" si="0"/>
        <v>5795.29</v>
      </c>
      <c r="M13" s="2"/>
      <c r="N13" s="19">
        <f t="shared" si="1"/>
        <v>0</v>
      </c>
      <c r="O13" s="11"/>
      <c r="P13" s="2">
        <f>--75538.6</f>
        <v>75538.600000000006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76635.040000000008</v>
      </c>
      <c r="Y13" s="2"/>
      <c r="Z13" s="19">
        <f t="shared" si="3"/>
        <v>-69.894421947393383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--518.25</f>
        <v>518.25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518.25</v>
      </c>
      <c r="M20" s="2"/>
      <c r="N20" s="19">
        <f t="shared" si="1"/>
        <v>0</v>
      </c>
      <c r="O20" s="11"/>
      <c r="P20" s="2">
        <f>--27321.21</f>
        <v>27321.21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27321.21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>0</f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--1847.16</f>
        <v>1847.16</v>
      </c>
      <c r="U21" s="2"/>
      <c r="V21" s="19"/>
      <c r="W21" s="2"/>
      <c r="X21" s="2">
        <f t="shared" si="2"/>
        <v>-1847.16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-191.36</f>
        <v>-191.36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-191.36</v>
      </c>
      <c r="M22" s="2"/>
      <c r="N22" s="19">
        <f t="shared" si="1"/>
        <v>0</v>
      </c>
      <c r="O22" s="11"/>
      <c r="P22" s="2">
        <f>-1217.85</f>
        <v>-1217.8499999999999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-1217.8499999999999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"4227", " - ", "SALES RETURN TAXABLE-SCHOOL SU")</f>
        <v xml:space="preserve">          4227 - SALES RETURN TAXABLE-SCHOOL SU</v>
      </c>
      <c r="C23" s="11"/>
      <c r="D23" s="2">
        <f t="shared" ref="D23:D24" si="7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8">0</f>
        <v>0</v>
      </c>
      <c r="Q23" s="2"/>
      <c r="R23" s="19"/>
      <c r="S23" s="2"/>
      <c r="T23" s="2">
        <f>-159.97</f>
        <v>-159.97</v>
      </c>
      <c r="U23" s="2"/>
      <c r="V23" s="19"/>
      <c r="W23" s="2"/>
      <c r="X23" s="2">
        <f t="shared" si="2"/>
        <v>159.97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"4228", " - ", "SALES RETURN TAXABLE-ART/TECH")</f>
        <v xml:space="preserve">          4228 - SALES RETURN TAXABLE-ART/TECH</v>
      </c>
      <c r="C24" s="11"/>
      <c r="D24" s="2">
        <f t="shared" si="7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-222.2</f>
        <v>-222.2</v>
      </c>
      <c r="U24" s="2"/>
      <c r="V24" s="19"/>
      <c r="W24" s="2"/>
      <c r="X24" s="2">
        <f t="shared" si="2"/>
        <v>222.2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"4500", " - ", "SALES DISCOUNT")</f>
        <v xml:space="preserve">          4500 - SALES DISCOUNT</v>
      </c>
      <c r="C25" s="11"/>
      <c r="D25" s="2">
        <f>-114.72</f>
        <v>-114.72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-114.72</v>
      </c>
      <c r="M25" s="2"/>
      <c r="N25" s="19">
        <f t="shared" si="1"/>
        <v>0</v>
      </c>
      <c r="O25" s="11"/>
      <c r="P25" s="2">
        <f>-1706.18</f>
        <v>-1706.18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-1706.18</v>
      </c>
      <c r="Y25" s="2"/>
      <c r="Z25" s="19">
        <f t="shared" si="3"/>
        <v>0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6" t="s">
        <v>256</v>
      </c>
      <c r="C27" s="10"/>
      <c r="D27" s="4">
        <f>SUM(OSRRefD16x_0)</f>
        <v>3646.9500000000003</v>
      </c>
      <c r="E27" s="4"/>
      <c r="F27" s="12">
        <f t="shared" ref="F27:F37" si="9">IF(D$12=0,0,D27/D$12)</f>
        <v>0.60707020937301293</v>
      </c>
      <c r="G27" s="4"/>
      <c r="H27" s="4">
        <f>SUM(OSRRefH16x_0)</f>
        <v>18.52</v>
      </c>
      <c r="I27" s="4"/>
      <c r="J27" s="12">
        <f t="shared" ref="J27:J37" si="10">IF(H$12=0,0,H27/H$12)</f>
        <v>0</v>
      </c>
      <c r="K27" s="4"/>
      <c r="L27" s="4">
        <f t="shared" ref="L27:L37" si="11">+D27-H27</f>
        <v>3628.4300000000003</v>
      </c>
      <c r="M27" s="4"/>
      <c r="N27" s="12">
        <f t="shared" ref="N27:N37" si="12">IF(H27=0,0,L27/H27)</f>
        <v>195.91954643628512</v>
      </c>
      <c r="O27" s="10"/>
      <c r="P27" s="4">
        <f>SUM(OSRRefP16x_0)</f>
        <v>57238.489999999983</v>
      </c>
      <c r="Q27" s="4"/>
      <c r="R27" s="12">
        <f t="shared" ref="R27:R37" si="13">IF(P$12=0,0,P27/P$12)</f>
        <v>0.57275272179793846</v>
      </c>
      <c r="S27" s="4"/>
      <c r="T27" s="4">
        <f>SUM(OSRRefT16x_0)</f>
        <v>13730.259999999995</v>
      </c>
      <c r="U27" s="4"/>
      <c r="V27" s="12">
        <f t="shared" ref="V27:V37" si="14">IF(T$12=0,0,T27/T$12)</f>
        <v>0.64425260605332579</v>
      </c>
      <c r="W27" s="4"/>
      <c r="X27" s="4">
        <f t="shared" ref="X27:X37" si="15">+P27-T27</f>
        <v>43508.229999999989</v>
      </c>
      <c r="Y27" s="4"/>
      <c r="Z27" s="12">
        <f t="shared" ref="Z27:Z37" si="16">IF(T27=0,0,X27/T27)</f>
        <v>3.1687841308176252</v>
      </c>
    </row>
    <row r="28" spans="1:26" s="24" customFormat="1" hidden="1" outlineLevel="1" x14ac:dyDescent="0.3">
      <c r="A28" s="44"/>
      <c r="B28" s="11" t="str">
        <f>CONCATENATE("          ", "5000", " - ", "PURCHASES @ COST")</f>
        <v xml:space="preserve">          5000 - PURCHASES @ COST</v>
      </c>
      <c r="C28" s="11"/>
      <c r="D28" s="2">
        <v>19939.46</v>
      </c>
      <c r="E28" s="2"/>
      <c r="F28" s="19">
        <f t="shared" si="9"/>
        <v>3.3191165650707619</v>
      </c>
      <c r="G28" s="2"/>
      <c r="H28" s="2"/>
      <c r="I28" s="2"/>
      <c r="J28" s="19">
        <f t="shared" si="10"/>
        <v>0</v>
      </c>
      <c r="K28" s="2"/>
      <c r="L28" s="2">
        <f t="shared" si="11"/>
        <v>19939.46</v>
      </c>
      <c r="M28" s="2"/>
      <c r="N28" s="19">
        <f t="shared" si="12"/>
        <v>0</v>
      </c>
      <c r="O28" s="11"/>
      <c r="P28" s="2">
        <v>102207.43</v>
      </c>
      <c r="Q28" s="2"/>
      <c r="R28" s="19">
        <f t="shared" si="13"/>
        <v>1.0227310979110784</v>
      </c>
      <c r="S28" s="2"/>
      <c r="T28" s="2"/>
      <c r="U28" s="2"/>
      <c r="V28" s="19">
        <f t="shared" si="14"/>
        <v>0</v>
      </c>
      <c r="W28" s="2"/>
      <c r="X28" s="2">
        <f t="shared" si="15"/>
        <v>102207.43</v>
      </c>
      <c r="Y28" s="2"/>
      <c r="Z28" s="19">
        <f t="shared" si="16"/>
        <v>0</v>
      </c>
    </row>
    <row r="29" spans="1:26" s="24" customFormat="1" hidden="1" outlineLevel="1" x14ac:dyDescent="0.3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/>
      <c r="E29" s="2"/>
      <c r="F29" s="19">
        <f t="shared" si="9"/>
        <v>0</v>
      </c>
      <c r="G29" s="2"/>
      <c r="H29" s="2"/>
      <c r="I29" s="2"/>
      <c r="J29" s="19">
        <f t="shared" si="10"/>
        <v>0</v>
      </c>
      <c r="K29" s="2"/>
      <c r="L29" s="2">
        <f t="shared" si="11"/>
        <v>0</v>
      </c>
      <c r="M29" s="2"/>
      <c r="N29" s="19">
        <f t="shared" si="12"/>
        <v>0</v>
      </c>
      <c r="O29" s="11"/>
      <c r="P29" s="2">
        <v>0</v>
      </c>
      <c r="Q29" s="2"/>
      <c r="R29" s="19">
        <f t="shared" si="13"/>
        <v>0</v>
      </c>
      <c r="S29" s="2"/>
      <c r="T29" s="2">
        <v>364.91</v>
      </c>
      <c r="U29" s="2"/>
      <c r="V29" s="19">
        <f t="shared" si="14"/>
        <v>1.7122342801587094E-2</v>
      </c>
      <c r="W29" s="2"/>
      <c r="X29" s="2">
        <f t="shared" si="15"/>
        <v>-364.91</v>
      </c>
      <c r="Y29" s="2"/>
      <c r="Z29" s="19">
        <f t="shared" si="16"/>
        <v>-1</v>
      </c>
    </row>
    <row r="30" spans="1:26" s="24" customFormat="1" hidden="1" outlineLevel="1" x14ac:dyDescent="0.3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/>
      <c r="E30" s="2"/>
      <c r="F30" s="19">
        <f t="shared" si="9"/>
        <v>0</v>
      </c>
      <c r="G30" s="2"/>
      <c r="H30" s="2"/>
      <c r="I30" s="2"/>
      <c r="J30" s="19">
        <f t="shared" si="10"/>
        <v>0</v>
      </c>
      <c r="K30" s="2"/>
      <c r="L30" s="2">
        <f t="shared" si="11"/>
        <v>0</v>
      </c>
      <c r="M30" s="2"/>
      <c r="N30" s="19">
        <f t="shared" si="12"/>
        <v>0</v>
      </c>
      <c r="O30" s="11"/>
      <c r="P30" s="2">
        <v>0</v>
      </c>
      <c r="Q30" s="2"/>
      <c r="R30" s="19">
        <f t="shared" si="13"/>
        <v>0</v>
      </c>
      <c r="S30" s="2"/>
      <c r="T30" s="2">
        <v>895.47</v>
      </c>
      <c r="U30" s="2"/>
      <c r="V30" s="19">
        <f t="shared" si="14"/>
        <v>4.201733114613794E-2</v>
      </c>
      <c r="W30" s="2"/>
      <c r="X30" s="2">
        <f t="shared" si="15"/>
        <v>-895.47</v>
      </c>
      <c r="Y30" s="2"/>
      <c r="Z30" s="19">
        <f t="shared" si="16"/>
        <v>-1</v>
      </c>
    </row>
    <row r="31" spans="1:26" s="24" customFormat="1" hidden="1" outlineLevel="1" x14ac:dyDescent="0.3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>
        <v>0</v>
      </c>
      <c r="Q31" s="2"/>
      <c r="R31" s="19">
        <f t="shared" si="13"/>
        <v>0</v>
      </c>
      <c r="S31" s="2"/>
      <c r="T31" s="2">
        <v>41441.85</v>
      </c>
      <c r="U31" s="2"/>
      <c r="V31" s="19">
        <f t="shared" si="14"/>
        <v>1.9445385493188789</v>
      </c>
      <c r="W31" s="2"/>
      <c r="X31" s="2">
        <f t="shared" si="15"/>
        <v>-41441.85</v>
      </c>
      <c r="Y31" s="2"/>
      <c r="Z31" s="19">
        <f t="shared" si="16"/>
        <v>-1</v>
      </c>
    </row>
    <row r="32" spans="1:26" s="24" customFormat="1" hidden="1" outlineLevel="1" x14ac:dyDescent="0.3">
      <c r="A32" s="44"/>
      <c r="B32" s="11" t="str">
        <f>CONCATENATE("          ", "5031", " - ", "PURCHASES @ COST-FOOD")</f>
        <v xml:space="preserve">          5031 - PURCHASES @ COST-FOOD</v>
      </c>
      <c r="C32" s="11"/>
      <c r="D32" s="2"/>
      <c r="E32" s="2"/>
      <c r="F32" s="19">
        <f t="shared" si="9"/>
        <v>0</v>
      </c>
      <c r="G32" s="2"/>
      <c r="H32" s="2"/>
      <c r="I32" s="2"/>
      <c r="J32" s="19">
        <f t="shared" si="10"/>
        <v>0</v>
      </c>
      <c r="K32" s="2"/>
      <c r="L32" s="2">
        <f t="shared" si="11"/>
        <v>0</v>
      </c>
      <c r="M32" s="2"/>
      <c r="N32" s="19">
        <f t="shared" si="12"/>
        <v>0</v>
      </c>
      <c r="O32" s="11"/>
      <c r="P32" s="2">
        <v>0</v>
      </c>
      <c r="Q32" s="2"/>
      <c r="R32" s="19">
        <f t="shared" si="13"/>
        <v>0</v>
      </c>
      <c r="S32" s="2"/>
      <c r="T32" s="2">
        <v>2441.5700000000002</v>
      </c>
      <c r="U32" s="2"/>
      <c r="V32" s="19">
        <f t="shared" si="14"/>
        <v>0.11456358695040149</v>
      </c>
      <c r="W32" s="2"/>
      <c r="X32" s="2">
        <f t="shared" si="15"/>
        <v>-2441.5700000000002</v>
      </c>
      <c r="Y32" s="2"/>
      <c r="Z32" s="19">
        <f t="shared" si="16"/>
        <v>-1</v>
      </c>
    </row>
    <row r="33" spans="1:26" s="24" customFormat="1" hidden="1" outlineLevel="1" x14ac:dyDescent="0.3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/>
      <c r="E33" s="2"/>
      <c r="F33" s="19">
        <f t="shared" si="9"/>
        <v>0</v>
      </c>
      <c r="G33" s="2"/>
      <c r="H33" s="2"/>
      <c r="I33" s="2"/>
      <c r="J33" s="19">
        <f t="shared" si="10"/>
        <v>0</v>
      </c>
      <c r="K33" s="2"/>
      <c r="L33" s="2">
        <f t="shared" si="11"/>
        <v>0</v>
      </c>
      <c r="M33" s="2"/>
      <c r="N33" s="19">
        <f t="shared" si="12"/>
        <v>0</v>
      </c>
      <c r="O33" s="11"/>
      <c r="P33" s="2">
        <v>0</v>
      </c>
      <c r="Q33" s="2"/>
      <c r="R33" s="19">
        <f t="shared" si="13"/>
        <v>0</v>
      </c>
      <c r="S33" s="2"/>
      <c r="T33" s="2"/>
      <c r="U33" s="2"/>
      <c r="V33" s="19">
        <f t="shared" si="14"/>
        <v>0</v>
      </c>
      <c r="W33" s="2"/>
      <c r="X33" s="2">
        <f t="shared" si="15"/>
        <v>0</v>
      </c>
      <c r="Y33" s="2"/>
      <c r="Z33" s="19">
        <f t="shared" si="16"/>
        <v>0</v>
      </c>
    </row>
    <row r="34" spans="1:26" s="24" customFormat="1" hidden="1" outlineLevel="1" x14ac:dyDescent="0.3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-20077.689999999999</v>
      </c>
      <c r="E34" s="2"/>
      <c r="F34" s="19">
        <f t="shared" si="9"/>
        <v>-3.3421262896465391</v>
      </c>
      <c r="G34" s="2"/>
      <c r="H34" s="2"/>
      <c r="I34" s="2"/>
      <c r="J34" s="19">
        <f t="shared" si="10"/>
        <v>0</v>
      </c>
      <c r="K34" s="2"/>
      <c r="L34" s="2">
        <f t="shared" si="11"/>
        <v>-20077.689999999999</v>
      </c>
      <c r="M34" s="2"/>
      <c r="N34" s="19">
        <f t="shared" si="12"/>
        <v>0</v>
      </c>
      <c r="O34" s="11"/>
      <c r="P34" s="2">
        <v>-103335.13</v>
      </c>
      <c r="Q34" s="2"/>
      <c r="R34" s="19">
        <f t="shared" si="13"/>
        <v>-1.034015344654337</v>
      </c>
      <c r="S34" s="2"/>
      <c r="T34" s="2">
        <v>-45863.33</v>
      </c>
      <c r="U34" s="2"/>
      <c r="V34" s="19">
        <f t="shared" si="14"/>
        <v>-2.1520036674311842</v>
      </c>
      <c r="W34" s="2"/>
      <c r="X34" s="2">
        <f t="shared" si="15"/>
        <v>-57471.8</v>
      </c>
      <c r="Y34" s="2"/>
      <c r="Z34" s="19">
        <f t="shared" si="16"/>
        <v>1.2531100554626105</v>
      </c>
    </row>
    <row r="35" spans="1:26" s="24" customFormat="1" hidden="1" outlineLevel="1" x14ac:dyDescent="0.3">
      <c r="A35" s="44"/>
      <c r="B35" s="11" t="str">
        <f>CONCATENATE("          ", "5300", " - ", "COG$ OFFSET")</f>
        <v xml:space="preserve">          5300 - COG$ OFFSET</v>
      </c>
      <c r="C35" s="11"/>
      <c r="D35" s="2">
        <v>3646.95</v>
      </c>
      <c r="E35" s="2"/>
      <c r="F35" s="19">
        <f t="shared" si="9"/>
        <v>0.60707020937301281</v>
      </c>
      <c r="G35" s="2"/>
      <c r="H35" s="2"/>
      <c r="I35" s="2"/>
      <c r="J35" s="19">
        <f t="shared" si="10"/>
        <v>0</v>
      </c>
      <c r="K35" s="2"/>
      <c r="L35" s="2">
        <f t="shared" si="11"/>
        <v>3646.95</v>
      </c>
      <c r="M35" s="2"/>
      <c r="N35" s="19">
        <f t="shared" si="12"/>
        <v>0</v>
      </c>
      <c r="O35" s="11"/>
      <c r="P35" s="2">
        <v>57238.49</v>
      </c>
      <c r="Q35" s="2"/>
      <c r="R35" s="19">
        <f t="shared" si="13"/>
        <v>0.57275272179793857</v>
      </c>
      <c r="S35" s="2"/>
      <c r="T35" s="2">
        <v>14145</v>
      </c>
      <c r="U35" s="2"/>
      <c r="V35" s="19">
        <f t="shared" si="14"/>
        <v>0.66371307700103988</v>
      </c>
      <c r="W35" s="2"/>
      <c r="X35" s="2">
        <f t="shared" si="15"/>
        <v>43093.49</v>
      </c>
      <c r="Y35" s="2"/>
      <c r="Z35" s="19">
        <f t="shared" si="16"/>
        <v>3.046552845528455</v>
      </c>
    </row>
    <row r="36" spans="1:26" s="24" customFormat="1" hidden="1" outlineLevel="1" x14ac:dyDescent="0.3">
      <c r="A36" s="44"/>
      <c r="B36" s="11" t="str">
        <f>CONCATENATE("          ", "5500", " - ", "FREIGHT-IN")</f>
        <v xml:space="preserve">          5500 - FREIGHT-IN</v>
      </c>
      <c r="C36" s="11"/>
      <c r="D36" s="2">
        <v>138.22999999999999</v>
      </c>
      <c r="E36" s="2"/>
      <c r="F36" s="19">
        <f t="shared" si="9"/>
        <v>2.3009724575777449E-2</v>
      </c>
      <c r="G36" s="2"/>
      <c r="H36" s="2"/>
      <c r="I36" s="2"/>
      <c r="J36" s="19">
        <f t="shared" si="10"/>
        <v>0</v>
      </c>
      <c r="K36" s="2"/>
      <c r="L36" s="2">
        <f t="shared" si="11"/>
        <v>138.22999999999999</v>
      </c>
      <c r="M36" s="2"/>
      <c r="N36" s="19">
        <f t="shared" si="12"/>
        <v>0</v>
      </c>
      <c r="O36" s="11"/>
      <c r="P36" s="2">
        <v>1127.7</v>
      </c>
      <c r="Q36" s="2"/>
      <c r="R36" s="19">
        <f t="shared" si="13"/>
        <v>1.1284246743258522E-2</v>
      </c>
      <c r="S36" s="2"/>
      <c r="T36" s="2"/>
      <c r="U36" s="2"/>
      <c r="V36" s="19">
        <f t="shared" si="14"/>
        <v>0</v>
      </c>
      <c r="W36" s="2"/>
      <c r="X36" s="2">
        <f t="shared" si="15"/>
        <v>1127.7</v>
      </c>
      <c r="Y36" s="2"/>
      <c r="Z36" s="19">
        <f t="shared" si="16"/>
        <v>0</v>
      </c>
    </row>
    <row r="37" spans="1:26" s="24" customFormat="1" hidden="1" outlineLevel="1" x14ac:dyDescent="0.3">
      <c r="A37" s="44"/>
      <c r="B37" s="11" t="str">
        <f>CONCATENATE("          ", "5528", " - ", "FREIGHT-IN-ART/TECH")</f>
        <v xml:space="preserve">          5528 - FREIGHT-IN-ART/TECH</v>
      </c>
      <c r="C37" s="11"/>
      <c r="D37" s="2"/>
      <c r="E37" s="2"/>
      <c r="F37" s="19">
        <f t="shared" si="9"/>
        <v>0</v>
      </c>
      <c r="G37" s="2"/>
      <c r="H37" s="2">
        <v>18.52</v>
      </c>
      <c r="I37" s="2"/>
      <c r="J37" s="19">
        <f t="shared" si="10"/>
        <v>0</v>
      </c>
      <c r="K37" s="2"/>
      <c r="L37" s="2">
        <f t="shared" si="11"/>
        <v>-18.52</v>
      </c>
      <c r="M37" s="2"/>
      <c r="N37" s="19">
        <f t="shared" si="12"/>
        <v>-1</v>
      </c>
      <c r="O37" s="11"/>
      <c r="P37" s="2">
        <v>0</v>
      </c>
      <c r="Q37" s="2"/>
      <c r="R37" s="19">
        <f t="shared" si="13"/>
        <v>0</v>
      </c>
      <c r="S37" s="2"/>
      <c r="T37" s="2">
        <v>304.79000000000002</v>
      </c>
      <c r="U37" s="2"/>
      <c r="V37" s="19">
        <f t="shared" si="14"/>
        <v>1.4301386266464966E-2</v>
      </c>
      <c r="W37" s="2"/>
      <c r="X37" s="2">
        <f t="shared" si="15"/>
        <v>-304.79000000000002</v>
      </c>
      <c r="Y37" s="2"/>
      <c r="Z37" s="19">
        <f t="shared" si="16"/>
        <v>-1</v>
      </c>
    </row>
    <row r="38" spans="1:26" x14ac:dyDescent="0.3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10"/>
      <c r="B39" s="25" t="s">
        <v>107</v>
      </c>
      <c r="C39" s="25"/>
      <c r="D39" s="21">
        <f>D12-D27</f>
        <v>2360.5099999999998</v>
      </c>
      <c r="E39" s="13"/>
      <c r="F39" s="22">
        <f>IF(D$12=0,0,D39/D$12)</f>
        <v>0.39292979062698707</v>
      </c>
      <c r="G39" s="13"/>
      <c r="H39" s="21">
        <f>H12-H27</f>
        <v>-18.52</v>
      </c>
      <c r="I39" s="13"/>
      <c r="J39" s="22">
        <f>IF(H$12=0,0,H39/H$12)</f>
        <v>0</v>
      </c>
      <c r="K39" s="15"/>
      <c r="L39" s="21">
        <f>+D39-H39</f>
        <v>2379.0299999999997</v>
      </c>
      <c r="M39" s="15"/>
      <c r="N39" s="22">
        <f>IF(H39=0,0,L39/H39)</f>
        <v>-128.457343412527</v>
      </c>
      <c r="O39" s="26"/>
      <c r="P39" s="21">
        <f>P12-P27</f>
        <v>42697.290000000015</v>
      </c>
      <c r="Q39" s="13"/>
      <c r="R39" s="22">
        <f>IF(P$12=0,0,P39/P$12)</f>
        <v>0.42724727820206154</v>
      </c>
      <c r="S39" s="13"/>
      <c r="T39" s="21">
        <f>T12-T27</f>
        <v>7581.6600000000035</v>
      </c>
      <c r="U39" s="13"/>
      <c r="V39" s="22">
        <f>IF(T$12=0,0,T39/T$12)</f>
        <v>0.35574739394667415</v>
      </c>
      <c r="W39" s="15"/>
      <c r="X39" s="21">
        <f>+P39-T39</f>
        <v>35115.630000000012</v>
      </c>
      <c r="Y39" s="15"/>
      <c r="Z39" s="22">
        <f>IF(T39=0,0,X39/T39)</f>
        <v>4.6316545453106572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6" t="s">
        <v>294</v>
      </c>
      <c r="C41" s="10"/>
      <c r="D41" s="20">
        <f>SUM(OSRRefD22x_0)</f>
        <v>6605.99</v>
      </c>
      <c r="E41" s="20"/>
      <c r="F41" s="30">
        <f t="shared" ref="F41:F45" si="17">IF(D$12=0,0,D41/D$12)</f>
        <v>1.0996311253008759</v>
      </c>
      <c r="G41" s="20"/>
      <c r="H41" s="20">
        <f>SUM(OSRRefH22x_0)</f>
        <v>53</v>
      </c>
      <c r="I41" s="20"/>
      <c r="J41" s="30">
        <f t="shared" ref="J41:J45" si="18">IF(H$12=0,0,H41/H$12)</f>
        <v>0</v>
      </c>
      <c r="K41" s="4"/>
      <c r="L41" s="20">
        <f t="shared" ref="L41:L45" si="19">+D41-H41</f>
        <v>6552.99</v>
      </c>
      <c r="M41" s="4"/>
      <c r="N41" s="30">
        <f t="shared" ref="N41:N45" si="20">IF(H41=0,0,L41/H41)</f>
        <v>123.64132075471697</v>
      </c>
      <c r="O41" s="10"/>
      <c r="P41" s="20">
        <f>SUM(OSRRefP22x_0)</f>
        <v>34124.720000000001</v>
      </c>
      <c r="Q41" s="20"/>
      <c r="R41" s="30">
        <f t="shared" ref="R41:R45" si="21">IF(P$12=0,0,P41/P$12)</f>
        <v>0.34146648977973654</v>
      </c>
      <c r="S41" s="20"/>
      <c r="T41" s="20">
        <f>SUM(OSRRefT22x_0)</f>
        <v>12480.749999999996</v>
      </c>
      <c r="U41" s="20"/>
      <c r="V41" s="30">
        <f t="shared" ref="V41:V45" si="22">IF(T$12=0,0,T41/T$12)</f>
        <v>0.58562297531146879</v>
      </c>
      <c r="W41" s="4"/>
      <c r="X41" s="20">
        <f t="shared" ref="X41:X45" si="23">+P41-T41</f>
        <v>21643.970000000005</v>
      </c>
      <c r="Y41" s="4"/>
      <c r="Z41" s="30">
        <f t="shared" ref="Z41:Z45" si="24">IF(T41=0,0,X41/T41)</f>
        <v>1.7341882499048544</v>
      </c>
    </row>
    <row r="42" spans="1:26" s="29" customFormat="1" outlineLevel="1" collapsed="1" x14ac:dyDescent="0.3">
      <c r="A42" s="28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113.92</v>
      </c>
      <c r="E42" s="1"/>
      <c r="F42" s="5">
        <f t="shared" si="17"/>
        <v>1.8963089225729344E-2</v>
      </c>
      <c r="G42" s="1"/>
      <c r="H42" s="1">
        <f>SUM(OSRRefH22_0x_0)</f>
        <v>0</v>
      </c>
      <c r="I42" s="1"/>
      <c r="J42" s="5">
        <f t="shared" si="18"/>
        <v>0</v>
      </c>
      <c r="K42" s="1"/>
      <c r="L42" s="1">
        <f t="shared" si="19"/>
        <v>113.92</v>
      </c>
      <c r="M42" s="1"/>
      <c r="N42" s="5">
        <f t="shared" si="20"/>
        <v>0</v>
      </c>
      <c r="O42" s="14"/>
      <c r="P42" s="1">
        <f>SUM(OSRRefP22_0x_0)</f>
        <v>492.72</v>
      </c>
      <c r="Q42" s="1"/>
      <c r="R42" s="5">
        <f t="shared" si="21"/>
        <v>4.9303662812258033E-3</v>
      </c>
      <c r="S42" s="1"/>
      <c r="T42" s="1">
        <f>SUM(OSRRefT22_0x_0)</f>
        <v>778.2</v>
      </c>
      <c r="U42" s="1"/>
      <c r="V42" s="5">
        <f t="shared" si="22"/>
        <v>3.6514776707119778E-2</v>
      </c>
      <c r="W42" s="1"/>
      <c r="X42" s="1">
        <f t="shared" si="23"/>
        <v>-285.48</v>
      </c>
      <c r="Y42" s="1"/>
      <c r="Z42" s="5">
        <f t="shared" si="24"/>
        <v>-0.36684656900539708</v>
      </c>
    </row>
    <row r="43" spans="1:26" s="24" customFormat="1" hidden="1" outlineLevel="2" x14ac:dyDescent="0.3">
      <c r="A43" s="27"/>
      <c r="B43" s="11" t="str">
        <f>CONCATENATE("          ", "6111", " - ", "F.I.C.A.")</f>
        <v xml:space="preserve">          6111 - F.I.C.A.</v>
      </c>
      <c r="C43" s="11"/>
      <c r="D43" s="7">
        <v>43.64</v>
      </c>
      <c r="E43" s="2"/>
      <c r="F43" s="6">
        <f t="shared" si="17"/>
        <v>7.2643013852776378E-3</v>
      </c>
      <c r="G43" s="2"/>
      <c r="H43" s="7"/>
      <c r="I43" s="2"/>
      <c r="J43" s="6">
        <f t="shared" si="18"/>
        <v>0</v>
      </c>
      <c r="K43" s="2"/>
      <c r="L43" s="7">
        <f t="shared" si="19"/>
        <v>43.64</v>
      </c>
      <c r="M43" s="2"/>
      <c r="N43" s="6">
        <f t="shared" si="20"/>
        <v>0</v>
      </c>
      <c r="O43" s="11"/>
      <c r="P43" s="7">
        <v>113.92</v>
      </c>
      <c r="Q43" s="2"/>
      <c r="R43" s="6">
        <f t="shared" si="21"/>
        <v>1.1399320643717395E-3</v>
      </c>
      <c r="S43" s="2"/>
      <c r="T43" s="7">
        <v>484.61</v>
      </c>
      <c r="U43" s="2"/>
      <c r="V43" s="6">
        <f t="shared" si="22"/>
        <v>2.2738917938881154E-2</v>
      </c>
      <c r="W43" s="2"/>
      <c r="X43" s="7">
        <f t="shared" si="23"/>
        <v>-370.69</v>
      </c>
      <c r="Y43" s="2"/>
      <c r="Z43" s="6">
        <f t="shared" si="24"/>
        <v>-0.76492437217556386</v>
      </c>
    </row>
    <row r="44" spans="1:26" s="24" customFormat="1" hidden="1" outlineLevel="2" x14ac:dyDescent="0.3">
      <c r="A44" s="27"/>
      <c r="B44" s="11" t="str">
        <f>CONCATENATE("          ", "6112", " - ", "COMPENSATION INSURANCE")</f>
        <v xml:space="preserve">          6112 - COMPENSATION INSURANCE</v>
      </c>
      <c r="C44" s="11"/>
      <c r="D44" s="7">
        <v>59.78</v>
      </c>
      <c r="E44" s="2"/>
      <c r="F44" s="6">
        <f t="shared" si="17"/>
        <v>9.950960971858323E-3</v>
      </c>
      <c r="G44" s="2"/>
      <c r="H44" s="7"/>
      <c r="I44" s="2"/>
      <c r="J44" s="6">
        <f t="shared" si="18"/>
        <v>0</v>
      </c>
      <c r="K44" s="2"/>
      <c r="L44" s="7">
        <f t="shared" si="19"/>
        <v>59.78</v>
      </c>
      <c r="M44" s="2"/>
      <c r="N44" s="6">
        <f t="shared" si="20"/>
        <v>0</v>
      </c>
      <c r="O44" s="11"/>
      <c r="P44" s="7">
        <v>322.2</v>
      </c>
      <c r="Q44" s="2"/>
      <c r="R44" s="6">
        <f t="shared" si="21"/>
        <v>3.2240704980738629E-3</v>
      </c>
      <c r="S44" s="2"/>
      <c r="T44" s="7">
        <v>255.57</v>
      </c>
      <c r="U44" s="2"/>
      <c r="V44" s="6">
        <f t="shared" si="22"/>
        <v>1.1991880600152403E-2</v>
      </c>
      <c r="W44" s="2"/>
      <c r="X44" s="7">
        <f t="shared" si="23"/>
        <v>66.63</v>
      </c>
      <c r="Y44" s="2"/>
      <c r="Z44" s="6">
        <f t="shared" si="24"/>
        <v>0.26071135109754667</v>
      </c>
    </row>
    <row r="45" spans="1:26" s="24" customFormat="1" hidden="1" outlineLevel="2" x14ac:dyDescent="0.3">
      <c r="A45" s="27"/>
      <c r="B45" s="11" t="str">
        <f>CONCATENATE("          ", "6114", " - ", "STATE UNEMPLOYMENT INSURANCE")</f>
        <v xml:space="preserve">          6114 - STATE UNEMPLOYMENT INSURANCE</v>
      </c>
      <c r="C45" s="11"/>
      <c r="D45" s="7">
        <v>10.5</v>
      </c>
      <c r="E45" s="2"/>
      <c r="F45" s="6">
        <f t="shared" si="17"/>
        <v>1.7478268685933822E-3</v>
      </c>
      <c r="G45" s="2"/>
      <c r="H45" s="7"/>
      <c r="I45" s="2"/>
      <c r="J45" s="6">
        <f t="shared" si="18"/>
        <v>0</v>
      </c>
      <c r="K45" s="2"/>
      <c r="L45" s="7">
        <f t="shared" si="19"/>
        <v>10.5</v>
      </c>
      <c r="M45" s="2"/>
      <c r="N45" s="6">
        <f t="shared" si="20"/>
        <v>0</v>
      </c>
      <c r="O45" s="11"/>
      <c r="P45" s="7">
        <v>56.6</v>
      </c>
      <c r="Q45" s="2"/>
      <c r="R45" s="6">
        <f t="shared" si="21"/>
        <v>5.6636371878020068E-4</v>
      </c>
      <c r="S45" s="2"/>
      <c r="T45" s="7">
        <v>38.020000000000003</v>
      </c>
      <c r="U45" s="2"/>
      <c r="V45" s="6">
        <f t="shared" si="22"/>
        <v>1.7839781680862169E-3</v>
      </c>
      <c r="W45" s="2"/>
      <c r="X45" s="7">
        <f t="shared" si="23"/>
        <v>18.579999999999998</v>
      </c>
      <c r="Y45" s="2"/>
      <c r="Z45" s="6">
        <f t="shared" si="24"/>
        <v>0.48869016307206725</v>
      </c>
    </row>
    <row r="46" spans="1:26" s="29" customFormat="1" outlineLevel="1" collapsed="1" x14ac:dyDescent="0.3">
      <c r="A46" s="28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5010.21</v>
      </c>
      <c r="E46" s="1"/>
      <c r="F46" s="5">
        <f t="shared" ref="F46:F50" si="25">IF(D$12=0,0,D46/D$12)</f>
        <v>0.83399806240907137</v>
      </c>
      <c r="G46" s="1"/>
      <c r="H46" s="1">
        <f>SUM(OSRRefH22_1x_0)</f>
        <v>0</v>
      </c>
      <c r="I46" s="1"/>
      <c r="J46" s="5">
        <f t="shared" ref="J46:J50" si="26">IF(H$12=0,0,H46/H$12)</f>
        <v>0</v>
      </c>
      <c r="K46" s="1"/>
      <c r="L46" s="1">
        <f t="shared" ref="L46:L50" si="27">+D46-H46</f>
        <v>5010.21</v>
      </c>
      <c r="M46" s="1"/>
      <c r="N46" s="5">
        <f t="shared" ref="N46:N50" si="28">IF(H46=0,0,L46/H46)</f>
        <v>0</v>
      </c>
      <c r="O46" s="14"/>
      <c r="P46" s="1">
        <f>SUM(OSRRefP22_1x_0)</f>
        <v>20805.38</v>
      </c>
      <c r="Q46" s="1"/>
      <c r="R46" s="5">
        <f t="shared" ref="R46:R50" si="29">IF(P$12=0,0,P46/P$12)</f>
        <v>0.20818749801122283</v>
      </c>
      <c r="S46" s="1"/>
      <c r="T46" s="1">
        <f>SUM(OSRRefT22_1x_0)</f>
        <v>8152.5399999999991</v>
      </c>
      <c r="U46" s="1"/>
      <c r="V46" s="5">
        <f t="shared" ref="V46:V50" si="30">IF(T$12=0,0,T46/T$12)</f>
        <v>0.38253428128483963</v>
      </c>
      <c r="W46" s="1"/>
      <c r="X46" s="1">
        <f t="shared" ref="X46:X50" si="31">+P46-T46</f>
        <v>12652.840000000002</v>
      </c>
      <c r="Y46" s="1"/>
      <c r="Z46" s="5">
        <f t="shared" ref="Z46:Z50" si="32">IF(T46=0,0,X46/T46)</f>
        <v>1.5520120109806272</v>
      </c>
    </row>
    <row r="47" spans="1:26" s="24" customFormat="1" hidden="1" outlineLevel="2" x14ac:dyDescent="0.3">
      <c r="A47" s="27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25"/>
        <v>0</v>
      </c>
      <c r="G47" s="2"/>
      <c r="H47" s="7"/>
      <c r="I47" s="2"/>
      <c r="J47" s="6">
        <f t="shared" si="26"/>
        <v>0</v>
      </c>
      <c r="K47" s="2"/>
      <c r="L47" s="7">
        <f t="shared" si="27"/>
        <v>0</v>
      </c>
      <c r="M47" s="2"/>
      <c r="N47" s="6">
        <f t="shared" si="28"/>
        <v>0</v>
      </c>
      <c r="O47" s="11"/>
      <c r="P47" s="7">
        <v>783.61</v>
      </c>
      <c r="Q47" s="2"/>
      <c r="R47" s="6">
        <f t="shared" si="29"/>
        <v>7.8411355772677223E-3</v>
      </c>
      <c r="S47" s="2"/>
      <c r="T47" s="7"/>
      <c r="U47" s="2"/>
      <c r="V47" s="6">
        <f t="shared" si="30"/>
        <v>0</v>
      </c>
      <c r="W47" s="2"/>
      <c r="X47" s="7">
        <f t="shared" si="31"/>
        <v>783.61</v>
      </c>
      <c r="Y47" s="2"/>
      <c r="Z47" s="6">
        <f t="shared" si="32"/>
        <v>0</v>
      </c>
    </row>
    <row r="48" spans="1:26" s="24" customFormat="1" hidden="1" outlineLevel="2" x14ac:dyDescent="0.3">
      <c r="A48" s="27"/>
      <c r="B48" s="11" t="str">
        <f>CONCATENATE("          ", "6005", " - ", "TEMPORARY WAGES-HOURLY")</f>
        <v xml:space="preserve">          6005 - TEMPORARY WAGES-HOURLY</v>
      </c>
      <c r="C48" s="11"/>
      <c r="D48" s="7">
        <v>570.53</v>
      </c>
      <c r="E48" s="2"/>
      <c r="F48" s="6">
        <f t="shared" si="25"/>
        <v>9.4970253651293551E-2</v>
      </c>
      <c r="G48" s="2"/>
      <c r="H48" s="7"/>
      <c r="I48" s="2"/>
      <c r="J48" s="6">
        <f t="shared" si="26"/>
        <v>0</v>
      </c>
      <c r="K48" s="2"/>
      <c r="L48" s="7">
        <f t="shared" si="27"/>
        <v>570.53</v>
      </c>
      <c r="M48" s="2"/>
      <c r="N48" s="6">
        <f t="shared" si="28"/>
        <v>0</v>
      </c>
      <c r="O48" s="11"/>
      <c r="P48" s="7">
        <v>705.34</v>
      </c>
      <c r="Q48" s="2"/>
      <c r="R48" s="6">
        <f t="shared" si="29"/>
        <v>7.057932604318494E-3</v>
      </c>
      <c r="S48" s="2"/>
      <c r="T48" s="7">
        <v>5379.19</v>
      </c>
      <c r="U48" s="2"/>
      <c r="V48" s="6">
        <f t="shared" si="30"/>
        <v>0.25240288064144384</v>
      </c>
      <c r="W48" s="2"/>
      <c r="X48" s="7">
        <f t="shared" si="31"/>
        <v>-4673.8499999999995</v>
      </c>
      <c r="Y48" s="2"/>
      <c r="Z48" s="6">
        <f t="shared" si="32"/>
        <v>-0.86887616908865462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7">
        <v>3728</v>
      </c>
      <c r="E49" s="2"/>
      <c r="F49" s="6">
        <f t="shared" si="25"/>
        <v>0.62056176820153608</v>
      </c>
      <c r="G49" s="2"/>
      <c r="H49" s="7"/>
      <c r="I49" s="2"/>
      <c r="J49" s="6">
        <f t="shared" si="26"/>
        <v>0</v>
      </c>
      <c r="K49" s="2"/>
      <c r="L49" s="7">
        <f t="shared" si="27"/>
        <v>3728</v>
      </c>
      <c r="M49" s="2"/>
      <c r="N49" s="6">
        <f t="shared" si="28"/>
        <v>0</v>
      </c>
      <c r="O49" s="11"/>
      <c r="P49" s="7">
        <v>15853.05</v>
      </c>
      <c r="Q49" s="2"/>
      <c r="R49" s="6">
        <f t="shared" si="29"/>
        <v>0.15863237371039682</v>
      </c>
      <c r="S49" s="2"/>
      <c r="T49" s="7">
        <v>2773.35</v>
      </c>
      <c r="U49" s="2"/>
      <c r="V49" s="6">
        <f t="shared" si="30"/>
        <v>0.13013140064339582</v>
      </c>
      <c r="W49" s="2"/>
      <c r="X49" s="7">
        <f t="shared" si="31"/>
        <v>13079.699999999999</v>
      </c>
      <c r="Y49" s="2"/>
      <c r="Z49" s="6">
        <f t="shared" si="32"/>
        <v>4.7162096381632317</v>
      </c>
    </row>
    <row r="50" spans="1:26" s="24" customFormat="1" hidden="1" outlineLevel="2" x14ac:dyDescent="0.3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7">
        <v>711.68</v>
      </c>
      <c r="E50" s="2"/>
      <c r="F50" s="6">
        <f t="shared" si="25"/>
        <v>0.11846604055624173</v>
      </c>
      <c r="G50" s="2"/>
      <c r="H50" s="7"/>
      <c r="I50" s="2"/>
      <c r="J50" s="6">
        <f t="shared" si="26"/>
        <v>0</v>
      </c>
      <c r="K50" s="2"/>
      <c r="L50" s="7">
        <f t="shared" si="27"/>
        <v>711.68</v>
      </c>
      <c r="M50" s="2"/>
      <c r="N50" s="6">
        <f t="shared" si="28"/>
        <v>0</v>
      </c>
      <c r="O50" s="11"/>
      <c r="P50" s="7">
        <v>3463.38</v>
      </c>
      <c r="Q50" s="2"/>
      <c r="R50" s="6">
        <f t="shared" si="29"/>
        <v>3.4656056119239775E-2</v>
      </c>
      <c r="S50" s="2"/>
      <c r="T50" s="7"/>
      <c r="U50" s="2"/>
      <c r="V50" s="6">
        <f t="shared" si="30"/>
        <v>0</v>
      </c>
      <c r="W50" s="2"/>
      <c r="X50" s="7">
        <f t="shared" si="31"/>
        <v>3463.38</v>
      </c>
      <c r="Y50" s="2"/>
      <c r="Z50" s="6">
        <f t="shared" si="32"/>
        <v>0</v>
      </c>
    </row>
    <row r="51" spans="1:26" s="29" customFormat="1" outlineLevel="1" collapsed="1" x14ac:dyDescent="0.3">
      <c r="A51" s="28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480.69</v>
      </c>
      <c r="E51" s="1"/>
      <c r="F51" s="5">
        <f t="shared" ref="F51:F57" si="33">IF(D$12=0,0,D51/D$12)</f>
        <v>8.0015514044205038E-2</v>
      </c>
      <c r="G51" s="1"/>
      <c r="H51" s="1">
        <f>SUM(OSRRefH22_2x_0)</f>
        <v>0</v>
      </c>
      <c r="I51" s="1"/>
      <c r="J51" s="5">
        <f t="shared" ref="J51:J57" si="34">IF(H$12=0,0,H51/H$12)</f>
        <v>0</v>
      </c>
      <c r="K51" s="1"/>
      <c r="L51" s="1">
        <f t="shared" ref="L51:L57" si="35">+D51-H51</f>
        <v>480.69</v>
      </c>
      <c r="M51" s="1"/>
      <c r="N51" s="5">
        <f t="shared" ref="N51:N57" si="36">IF(H51=0,0,L51/H51)</f>
        <v>0</v>
      </c>
      <c r="O51" s="14"/>
      <c r="P51" s="1">
        <f>SUM(OSRRefP22_2x_0)</f>
        <v>1669.12</v>
      </c>
      <c r="Q51" s="1"/>
      <c r="R51" s="5">
        <f t="shared" ref="R51:R57" si="37">IF(P$12=0,0,P51/P$12)</f>
        <v>1.670192597686234E-2</v>
      </c>
      <c r="S51" s="1"/>
      <c r="T51" s="1">
        <f>SUM(OSRRefT22_2x_0)</f>
        <v>124.72</v>
      </c>
      <c r="U51" s="1"/>
      <c r="V51" s="5">
        <f t="shared" ref="V51:V57" si="38">IF(T$12=0,0,T51/T$12)</f>
        <v>5.8521240695347957E-3</v>
      </c>
      <c r="W51" s="1"/>
      <c r="X51" s="1">
        <f t="shared" ref="X51:X57" si="39">+P51-T51</f>
        <v>1544.3999999999999</v>
      </c>
      <c r="Y51" s="1"/>
      <c r="Z51" s="5">
        <f t="shared" ref="Z51:Z57" si="40">IF(T51=0,0,X51/T51)</f>
        <v>12.382937780628607</v>
      </c>
    </row>
    <row r="52" spans="1:26" s="24" customFormat="1" hidden="1" outlineLevel="2" x14ac:dyDescent="0.3">
      <c r="A52" s="27"/>
      <c r="B52" s="11" t="str">
        <f>CONCATENATE("          ", "6362", " - ", "ADVERTISING EXPENSE")</f>
        <v xml:space="preserve">          6362 - ADVERTISING EXPENSE</v>
      </c>
      <c r="C52" s="11"/>
      <c r="D52" s="7">
        <v>480.69</v>
      </c>
      <c r="E52" s="2"/>
      <c r="F52" s="6">
        <f t="shared" si="33"/>
        <v>8.0015514044205038E-2</v>
      </c>
      <c r="G52" s="2"/>
      <c r="H52" s="7"/>
      <c r="I52" s="2"/>
      <c r="J52" s="6">
        <f t="shared" si="34"/>
        <v>0</v>
      </c>
      <c r="K52" s="2"/>
      <c r="L52" s="7">
        <f t="shared" si="35"/>
        <v>480.69</v>
      </c>
      <c r="M52" s="2"/>
      <c r="N52" s="6">
        <f t="shared" si="36"/>
        <v>0</v>
      </c>
      <c r="O52" s="11"/>
      <c r="P52" s="7">
        <v>1669.12</v>
      </c>
      <c r="Q52" s="2"/>
      <c r="R52" s="6">
        <f t="shared" si="37"/>
        <v>1.670192597686234E-2</v>
      </c>
      <c r="S52" s="2"/>
      <c r="T52" s="7">
        <v>124.72</v>
      </c>
      <c r="U52" s="2"/>
      <c r="V52" s="6">
        <f t="shared" si="38"/>
        <v>5.8521240695347957E-3</v>
      </c>
      <c r="W52" s="2"/>
      <c r="X52" s="7">
        <f t="shared" si="39"/>
        <v>1544.3999999999999</v>
      </c>
      <c r="Y52" s="2"/>
      <c r="Z52" s="6">
        <f t="shared" si="40"/>
        <v>12.382937780628607</v>
      </c>
    </row>
    <row r="53" spans="1:26" s="29" customFormat="1" outlineLevel="1" collapsed="1" x14ac:dyDescent="0.3">
      <c r="A53" s="28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-4.8499999999999996</v>
      </c>
      <c r="E53" s="1"/>
      <c r="F53" s="5">
        <f t="shared" si="33"/>
        <v>-8.0732955358837173E-4</v>
      </c>
      <c r="G53" s="1"/>
      <c r="H53" s="1">
        <f>SUM(OSRRefH22_3x_0)</f>
        <v>0</v>
      </c>
      <c r="I53" s="1"/>
      <c r="J53" s="5">
        <f t="shared" si="34"/>
        <v>0</v>
      </c>
      <c r="K53" s="1"/>
      <c r="L53" s="1">
        <f t="shared" si="35"/>
        <v>-4.8499999999999996</v>
      </c>
      <c r="M53" s="1"/>
      <c r="N53" s="5">
        <f t="shared" si="36"/>
        <v>0</v>
      </c>
      <c r="O53" s="14"/>
      <c r="P53" s="1">
        <f>SUM(OSRRefP22_3x_0)</f>
        <v>-8.3000000000000007</v>
      </c>
      <c r="Q53" s="1"/>
      <c r="R53" s="5">
        <f t="shared" si="37"/>
        <v>-8.305333685292696E-5</v>
      </c>
      <c r="S53" s="1"/>
      <c r="T53" s="1">
        <f>SUM(OSRRefT22_3x_0)</f>
        <v>1.1000000000000001</v>
      </c>
      <c r="U53" s="1"/>
      <c r="V53" s="5">
        <f t="shared" si="38"/>
        <v>5.1614307861516002E-5</v>
      </c>
      <c r="W53" s="1"/>
      <c r="X53" s="1">
        <f t="shared" si="39"/>
        <v>-9.4</v>
      </c>
      <c r="Y53" s="1"/>
      <c r="Z53" s="5">
        <f t="shared" si="40"/>
        <v>-8.545454545454545</v>
      </c>
    </row>
    <row r="54" spans="1:26" s="24" customFormat="1" hidden="1" outlineLevel="2" x14ac:dyDescent="0.3">
      <c r="A54" s="27"/>
      <c r="B54" s="11" t="str">
        <f>CONCATENATE("          ", "6272", " - ", "CASH (OVER/SHORT)")</f>
        <v xml:space="preserve">          6272 - CASH (OVER/SHORT)</v>
      </c>
      <c r="C54" s="11"/>
      <c r="D54" s="7">
        <v>-4.8499999999999996</v>
      </c>
      <c r="E54" s="2"/>
      <c r="F54" s="6">
        <f t="shared" si="33"/>
        <v>-8.0732955358837173E-4</v>
      </c>
      <c r="G54" s="2"/>
      <c r="H54" s="7"/>
      <c r="I54" s="2"/>
      <c r="J54" s="6">
        <f t="shared" si="34"/>
        <v>0</v>
      </c>
      <c r="K54" s="2"/>
      <c r="L54" s="7">
        <f t="shared" si="35"/>
        <v>-4.8499999999999996</v>
      </c>
      <c r="M54" s="2"/>
      <c r="N54" s="6">
        <f t="shared" si="36"/>
        <v>0</v>
      </c>
      <c r="O54" s="11"/>
      <c r="P54" s="7">
        <v>-8.3000000000000007</v>
      </c>
      <c r="Q54" s="2"/>
      <c r="R54" s="6">
        <f t="shared" si="37"/>
        <v>-8.305333685292696E-5</v>
      </c>
      <c r="S54" s="2"/>
      <c r="T54" s="7">
        <v>1.1000000000000001</v>
      </c>
      <c r="U54" s="2"/>
      <c r="V54" s="6">
        <f t="shared" si="38"/>
        <v>5.1614307861516002E-5</v>
      </c>
      <c r="W54" s="2"/>
      <c r="X54" s="7">
        <f t="shared" si="39"/>
        <v>-9.4</v>
      </c>
      <c r="Y54" s="2"/>
      <c r="Z54" s="6">
        <f t="shared" si="40"/>
        <v>-8.545454545454545</v>
      </c>
    </row>
    <row r="55" spans="1:26" s="29" customFormat="1" outlineLevel="1" collapsed="1" x14ac:dyDescent="0.3">
      <c r="A55" s="28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SUM(OSRRefD22_4x_0)</f>
        <v>27.91</v>
      </c>
      <c r="E55" s="1"/>
      <c r="F55" s="5">
        <f t="shared" si="33"/>
        <v>4.6458902764229806E-3</v>
      </c>
      <c r="G55" s="1"/>
      <c r="H55" s="1">
        <f>SUM(OSRRefH22_4x_0)</f>
        <v>0</v>
      </c>
      <c r="I55" s="1"/>
      <c r="J55" s="5">
        <f t="shared" si="34"/>
        <v>0</v>
      </c>
      <c r="K55" s="1"/>
      <c r="L55" s="1">
        <f t="shared" si="35"/>
        <v>27.91</v>
      </c>
      <c r="M55" s="1"/>
      <c r="N55" s="5">
        <f t="shared" si="36"/>
        <v>0</v>
      </c>
      <c r="O55" s="14"/>
      <c r="P55" s="1">
        <f>SUM(OSRRefP22_4x_0)</f>
        <v>-0.98</v>
      </c>
      <c r="Q55" s="1"/>
      <c r="R55" s="5">
        <f t="shared" si="37"/>
        <v>-9.8062976043214954E-6</v>
      </c>
      <c r="S55" s="1"/>
      <c r="T55" s="1">
        <f>SUM(OSRRefT22_4x_0)</f>
        <v>0</v>
      </c>
      <c r="U55" s="1"/>
      <c r="V55" s="5">
        <f t="shared" si="38"/>
        <v>0</v>
      </c>
      <c r="W55" s="1"/>
      <c r="X55" s="1">
        <f t="shared" si="39"/>
        <v>-0.98</v>
      </c>
      <c r="Y55" s="1"/>
      <c r="Z55" s="5">
        <f t="shared" si="40"/>
        <v>0</v>
      </c>
    </row>
    <row r="56" spans="1:26" s="24" customFormat="1" hidden="1" outlineLevel="2" x14ac:dyDescent="0.3">
      <c r="A56" s="27"/>
      <c r="B56" s="11" t="str">
        <f>CONCATENATE("          ", "6382", " - ", "DISCOUNTS/MARK DOWNS")</f>
        <v xml:space="preserve">          6382 - DISCOUNTS/MARK DOWNS</v>
      </c>
      <c r="C56" s="11"/>
      <c r="D56" s="7"/>
      <c r="E56" s="2"/>
      <c r="F56" s="6">
        <f t="shared" si="33"/>
        <v>0</v>
      </c>
      <c r="G56" s="2"/>
      <c r="H56" s="7"/>
      <c r="I56" s="2"/>
      <c r="J56" s="6">
        <f t="shared" si="34"/>
        <v>0</v>
      </c>
      <c r="K56" s="2"/>
      <c r="L56" s="7">
        <f t="shared" si="35"/>
        <v>0</v>
      </c>
      <c r="M56" s="2"/>
      <c r="N56" s="6">
        <f t="shared" si="36"/>
        <v>0</v>
      </c>
      <c r="O56" s="11"/>
      <c r="P56" s="7"/>
      <c r="Q56" s="2"/>
      <c r="R56" s="6">
        <f t="shared" si="37"/>
        <v>0</v>
      </c>
      <c r="S56" s="2"/>
      <c r="T56" s="7">
        <v>0</v>
      </c>
      <c r="U56" s="2"/>
      <c r="V56" s="6">
        <f t="shared" si="38"/>
        <v>0</v>
      </c>
      <c r="W56" s="2"/>
      <c r="X56" s="7">
        <f t="shared" si="39"/>
        <v>0</v>
      </c>
      <c r="Y56" s="2"/>
      <c r="Z56" s="6">
        <f t="shared" si="40"/>
        <v>0</v>
      </c>
    </row>
    <row r="57" spans="1:26" s="24" customFormat="1" hidden="1" outlineLevel="2" x14ac:dyDescent="0.3">
      <c r="A57" s="27"/>
      <c r="B57" s="11" t="str">
        <f>CONCATENATE("          ", "9175", " - ", "EARNED DISCOUNTS")</f>
        <v xml:space="preserve">          9175 - EARNED DISCOUNTS</v>
      </c>
      <c r="C57" s="11"/>
      <c r="D57" s="7">
        <v>27.91</v>
      </c>
      <c r="E57" s="2"/>
      <c r="F57" s="6">
        <f t="shared" si="33"/>
        <v>4.6458902764229806E-3</v>
      </c>
      <c r="G57" s="2"/>
      <c r="H57" s="7"/>
      <c r="I57" s="2"/>
      <c r="J57" s="6">
        <f t="shared" si="34"/>
        <v>0</v>
      </c>
      <c r="K57" s="2"/>
      <c r="L57" s="7">
        <f t="shared" si="35"/>
        <v>27.91</v>
      </c>
      <c r="M57" s="2"/>
      <c r="N57" s="6">
        <f t="shared" si="36"/>
        <v>0</v>
      </c>
      <c r="O57" s="11"/>
      <c r="P57" s="7">
        <v>-0.98</v>
      </c>
      <c r="Q57" s="2"/>
      <c r="R57" s="6">
        <f t="shared" si="37"/>
        <v>-9.8062976043214954E-6</v>
      </c>
      <c r="S57" s="2"/>
      <c r="T57" s="7">
        <v>0</v>
      </c>
      <c r="U57" s="2"/>
      <c r="V57" s="6">
        <f t="shared" si="38"/>
        <v>0</v>
      </c>
      <c r="W57" s="2"/>
      <c r="X57" s="7">
        <f t="shared" si="39"/>
        <v>-0.98</v>
      </c>
      <c r="Y57" s="2"/>
      <c r="Z57" s="6">
        <f t="shared" si="40"/>
        <v>0</v>
      </c>
    </row>
    <row r="58" spans="1:26" s="29" customFormat="1" outlineLevel="1" collapsed="1" x14ac:dyDescent="0.3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SUM(OSRRefD22_5x_0)</f>
        <v>0</v>
      </c>
      <c r="E58" s="1"/>
      <c r="F58" s="5">
        <f t="shared" ref="F58:F66" si="41">IF(D$12=0,0,D58/D$12)</f>
        <v>0</v>
      </c>
      <c r="G58" s="1"/>
      <c r="H58" s="1">
        <f>SUM(OSRRefH22_5x_0)</f>
        <v>0</v>
      </c>
      <c r="I58" s="1"/>
      <c r="J58" s="5">
        <f t="shared" ref="J58:J66" si="42">IF(H$12=0,0,H58/H$12)</f>
        <v>0</v>
      </c>
      <c r="K58" s="1"/>
      <c r="L58" s="1">
        <f t="shared" ref="L58:L66" si="43">+D58-H58</f>
        <v>0</v>
      </c>
      <c r="M58" s="1"/>
      <c r="N58" s="5">
        <f t="shared" ref="N58:N66" si="44">IF(H58=0,0,L58/H58)</f>
        <v>0</v>
      </c>
      <c r="O58" s="14"/>
      <c r="P58" s="1">
        <f>SUM(OSRRefP22_5x_0)</f>
        <v>54.5</v>
      </c>
      <c r="Q58" s="1"/>
      <c r="R58" s="5">
        <f t="shared" ref="R58:R66" si="45">IF(P$12=0,0,P58/P$12)</f>
        <v>5.4535022391379744E-4</v>
      </c>
      <c r="S58" s="1"/>
      <c r="T58" s="1">
        <f>SUM(OSRRefT22_5x_0)</f>
        <v>0</v>
      </c>
      <c r="U58" s="1"/>
      <c r="V58" s="5">
        <f t="shared" ref="V58:V66" si="46">IF(T$12=0,0,T58/T$12)</f>
        <v>0</v>
      </c>
      <c r="W58" s="1"/>
      <c r="X58" s="1">
        <f t="shared" ref="X58:X66" si="47">+P58-T58</f>
        <v>54.5</v>
      </c>
      <c r="Y58" s="1"/>
      <c r="Z58" s="5">
        <f t="shared" ref="Z58:Z66" si="48">IF(T58=0,0,X58/T58)</f>
        <v>0</v>
      </c>
    </row>
    <row r="59" spans="1:26" s="24" customFormat="1" hidden="1" outlineLevel="2" x14ac:dyDescent="0.3">
      <c r="A59" s="27"/>
      <c r="B59" s="11" t="str">
        <f>CONCATENATE("          ", "6307", " - ", "POSTAGE")</f>
        <v xml:space="preserve">          6307 - POSTAGE</v>
      </c>
      <c r="C59" s="11"/>
      <c r="D59" s="7"/>
      <c r="E59" s="2"/>
      <c r="F59" s="6">
        <f t="shared" si="41"/>
        <v>0</v>
      </c>
      <c r="G59" s="2"/>
      <c r="H59" s="7"/>
      <c r="I59" s="2"/>
      <c r="J59" s="6">
        <f t="shared" si="42"/>
        <v>0</v>
      </c>
      <c r="K59" s="2"/>
      <c r="L59" s="7">
        <f t="shared" si="43"/>
        <v>0</v>
      </c>
      <c r="M59" s="2"/>
      <c r="N59" s="6">
        <f t="shared" si="44"/>
        <v>0</v>
      </c>
      <c r="O59" s="11"/>
      <c r="P59" s="7">
        <v>54.5</v>
      </c>
      <c r="Q59" s="2"/>
      <c r="R59" s="6">
        <f t="shared" si="45"/>
        <v>5.4535022391379744E-4</v>
      </c>
      <c r="S59" s="2"/>
      <c r="T59" s="7"/>
      <c r="U59" s="2"/>
      <c r="V59" s="6">
        <f t="shared" si="46"/>
        <v>0</v>
      </c>
      <c r="W59" s="2"/>
      <c r="X59" s="7">
        <f t="shared" si="47"/>
        <v>54.5</v>
      </c>
      <c r="Y59" s="2"/>
      <c r="Z59" s="6">
        <f t="shared" si="48"/>
        <v>0</v>
      </c>
    </row>
    <row r="60" spans="1:26" s="29" customFormat="1" outlineLevel="1" collapsed="1" x14ac:dyDescent="0.3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SUM(OSRRefD22_6x_0)</f>
        <v>0</v>
      </c>
      <c r="E60" s="1"/>
      <c r="F60" s="5">
        <f t="shared" si="41"/>
        <v>0</v>
      </c>
      <c r="G60" s="1"/>
      <c r="H60" s="1">
        <f>SUM(OSRRefH22_6x_0)</f>
        <v>0</v>
      </c>
      <c r="I60" s="1"/>
      <c r="J60" s="5">
        <f t="shared" si="42"/>
        <v>0</v>
      </c>
      <c r="K60" s="1"/>
      <c r="L60" s="1">
        <f t="shared" si="43"/>
        <v>0</v>
      </c>
      <c r="M60" s="1"/>
      <c r="N60" s="5">
        <f t="shared" si="44"/>
        <v>0</v>
      </c>
      <c r="O60" s="14"/>
      <c r="P60" s="1">
        <f>SUM(OSRRefP22_6x_0)</f>
        <v>388.04</v>
      </c>
      <c r="Q60" s="1"/>
      <c r="R60" s="5">
        <f t="shared" si="45"/>
        <v>3.8828935942662379E-3</v>
      </c>
      <c r="S60" s="1"/>
      <c r="T60" s="1">
        <f>SUM(OSRRefT22_6x_0)</f>
        <v>879.55</v>
      </c>
      <c r="U60" s="1"/>
      <c r="V60" s="5">
        <f t="shared" si="46"/>
        <v>4.1270331345087632E-2</v>
      </c>
      <c r="W60" s="1"/>
      <c r="X60" s="1">
        <f t="shared" si="47"/>
        <v>-491.50999999999993</v>
      </c>
      <c r="Y60" s="1"/>
      <c r="Z60" s="5">
        <f t="shared" si="48"/>
        <v>-0.55881985106020116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41"/>
        <v>0</v>
      </c>
      <c r="G61" s="2"/>
      <c r="H61" s="7"/>
      <c r="I61" s="2"/>
      <c r="J61" s="6">
        <f t="shared" si="42"/>
        <v>0</v>
      </c>
      <c r="K61" s="2"/>
      <c r="L61" s="7">
        <f t="shared" si="43"/>
        <v>0</v>
      </c>
      <c r="M61" s="2"/>
      <c r="N61" s="6">
        <f t="shared" si="44"/>
        <v>0</v>
      </c>
      <c r="O61" s="11"/>
      <c r="P61" s="7">
        <v>388.04</v>
      </c>
      <c r="Q61" s="2"/>
      <c r="R61" s="6">
        <f t="shared" si="45"/>
        <v>3.8828935942662379E-3</v>
      </c>
      <c r="S61" s="2"/>
      <c r="T61" s="7">
        <v>879.55</v>
      </c>
      <c r="U61" s="2"/>
      <c r="V61" s="6">
        <f t="shared" si="46"/>
        <v>4.1270331345087632E-2</v>
      </c>
      <c r="W61" s="2"/>
      <c r="X61" s="7">
        <f t="shared" si="47"/>
        <v>-491.50999999999993</v>
      </c>
      <c r="Y61" s="2"/>
      <c r="Z61" s="6">
        <f t="shared" si="48"/>
        <v>-0.55881985106020116</v>
      </c>
    </row>
    <row r="62" spans="1:26" s="29" customFormat="1" outlineLevel="1" collapsed="1" x14ac:dyDescent="0.3">
      <c r="A62" s="28"/>
      <c r="B62" s="14" t="str">
        <f>CONCATENATE("     ","Inventory Adjustment                              ")</f>
        <v xml:space="preserve">     Inventory Adjustment                              </v>
      </c>
      <c r="C62" s="14"/>
      <c r="D62" s="1">
        <f>SUM(OSRRefD22_7x_0)</f>
        <v>650</v>
      </c>
      <c r="E62" s="1"/>
      <c r="F62" s="5">
        <f t="shared" si="41"/>
        <v>0.1081988061510189</v>
      </c>
      <c r="G62" s="1"/>
      <c r="H62" s="1">
        <f>SUM(OSRRefH22_7x_0)</f>
        <v>0</v>
      </c>
      <c r="I62" s="1"/>
      <c r="J62" s="5">
        <f t="shared" si="42"/>
        <v>0</v>
      </c>
      <c r="K62" s="1"/>
      <c r="L62" s="1">
        <f t="shared" si="43"/>
        <v>650</v>
      </c>
      <c r="M62" s="1"/>
      <c r="N62" s="5">
        <f t="shared" si="44"/>
        <v>0</v>
      </c>
      <c r="O62" s="14"/>
      <c r="P62" s="1">
        <f>SUM(OSRRefP22_7x_0)</f>
        <v>4550</v>
      </c>
      <c r="Q62" s="1"/>
      <c r="R62" s="5">
        <f t="shared" si="45"/>
        <v>4.5529238877206946E-2</v>
      </c>
      <c r="S62" s="1"/>
      <c r="T62" s="1">
        <f>SUM(OSRRefT22_7x_0)</f>
        <v>0</v>
      </c>
      <c r="U62" s="1"/>
      <c r="V62" s="5">
        <f t="shared" si="46"/>
        <v>0</v>
      </c>
      <c r="W62" s="1"/>
      <c r="X62" s="1">
        <f t="shared" si="47"/>
        <v>4550</v>
      </c>
      <c r="Y62" s="1"/>
      <c r="Z62" s="5">
        <f t="shared" si="48"/>
        <v>0</v>
      </c>
    </row>
    <row r="63" spans="1:26" s="24" customFormat="1" hidden="1" outlineLevel="2" x14ac:dyDescent="0.3">
      <c r="A63" s="27"/>
      <c r="B63" s="11" t="str">
        <f>CONCATENATE("          ", "6408", " - ", "INVENTORY ADJUSTMENT")</f>
        <v xml:space="preserve">          6408 - INVENTORY ADJUSTMENT</v>
      </c>
      <c r="C63" s="11"/>
      <c r="D63" s="7">
        <v>650</v>
      </c>
      <c r="E63" s="2"/>
      <c r="F63" s="6">
        <f t="shared" si="41"/>
        <v>0.1081988061510189</v>
      </c>
      <c r="G63" s="2"/>
      <c r="H63" s="7"/>
      <c r="I63" s="2"/>
      <c r="J63" s="6">
        <f t="shared" si="42"/>
        <v>0</v>
      </c>
      <c r="K63" s="2"/>
      <c r="L63" s="7">
        <f t="shared" si="43"/>
        <v>650</v>
      </c>
      <c r="M63" s="2"/>
      <c r="N63" s="6">
        <f t="shared" si="44"/>
        <v>0</v>
      </c>
      <c r="O63" s="11"/>
      <c r="P63" s="7">
        <v>4550</v>
      </c>
      <c r="Q63" s="2"/>
      <c r="R63" s="6">
        <f t="shared" si="45"/>
        <v>4.5529238877206946E-2</v>
      </c>
      <c r="S63" s="2"/>
      <c r="T63" s="7"/>
      <c r="U63" s="2"/>
      <c r="V63" s="6">
        <f t="shared" si="46"/>
        <v>0</v>
      </c>
      <c r="W63" s="2"/>
      <c r="X63" s="7">
        <f t="shared" si="47"/>
        <v>4550</v>
      </c>
      <c r="Y63" s="2"/>
      <c r="Z63" s="6">
        <f t="shared" si="48"/>
        <v>0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SUM(OSRRefD22_8x_0)</f>
        <v>0</v>
      </c>
      <c r="E64" s="1"/>
      <c r="F64" s="5">
        <f t="shared" si="41"/>
        <v>0</v>
      </c>
      <c r="G64" s="1"/>
      <c r="H64" s="1">
        <f>SUM(OSRRefH22_8x_0)</f>
        <v>0</v>
      </c>
      <c r="I64" s="1"/>
      <c r="J64" s="5">
        <f t="shared" si="42"/>
        <v>0</v>
      </c>
      <c r="K64" s="1"/>
      <c r="L64" s="1">
        <f t="shared" si="43"/>
        <v>0</v>
      </c>
      <c r="M64" s="1"/>
      <c r="N64" s="5">
        <f t="shared" si="44"/>
        <v>0</v>
      </c>
      <c r="O64" s="14"/>
      <c r="P64" s="1">
        <f>SUM(OSRRefP22_8x_0)</f>
        <v>383.39</v>
      </c>
      <c r="Q64" s="1"/>
      <c r="R64" s="5">
        <f t="shared" si="45"/>
        <v>3.8363637127763451E-3</v>
      </c>
      <c r="S64" s="1"/>
      <c r="T64" s="1">
        <f>SUM(OSRRefT22_8x_0)</f>
        <v>200.82</v>
      </c>
      <c r="U64" s="1"/>
      <c r="V64" s="5">
        <f t="shared" si="46"/>
        <v>9.4228957315905838E-3</v>
      </c>
      <c r="W64" s="1"/>
      <c r="X64" s="1">
        <f t="shared" si="47"/>
        <v>182.57</v>
      </c>
      <c r="Y64" s="1"/>
      <c r="Z64" s="5">
        <f t="shared" si="48"/>
        <v>0.90912259735086143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41"/>
        <v>0</v>
      </c>
      <c r="G65" s="2"/>
      <c r="H65" s="7"/>
      <c r="I65" s="2"/>
      <c r="J65" s="6">
        <f t="shared" si="42"/>
        <v>0</v>
      </c>
      <c r="K65" s="2"/>
      <c r="L65" s="7">
        <f t="shared" si="43"/>
        <v>0</v>
      </c>
      <c r="M65" s="2"/>
      <c r="N65" s="6">
        <f t="shared" si="44"/>
        <v>0</v>
      </c>
      <c r="O65" s="11"/>
      <c r="P65" s="7">
        <v>200.17</v>
      </c>
      <c r="Q65" s="2"/>
      <c r="R65" s="6">
        <f t="shared" si="45"/>
        <v>2.0029863178132996E-3</v>
      </c>
      <c r="S65" s="2"/>
      <c r="T65" s="7">
        <v>200.82</v>
      </c>
      <c r="U65" s="2"/>
      <c r="V65" s="6">
        <f t="shared" si="46"/>
        <v>9.4228957315905838E-3</v>
      </c>
      <c r="W65" s="2"/>
      <c r="X65" s="7">
        <f t="shared" si="47"/>
        <v>-0.65000000000000568</v>
      </c>
      <c r="Y65" s="2"/>
      <c r="Z65" s="6">
        <f t="shared" si="48"/>
        <v>-3.2367294094214007E-3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7"/>
      <c r="E66" s="2"/>
      <c r="F66" s="6">
        <f t="shared" si="41"/>
        <v>0</v>
      </c>
      <c r="G66" s="2"/>
      <c r="H66" s="7"/>
      <c r="I66" s="2"/>
      <c r="J66" s="6">
        <f t="shared" si="42"/>
        <v>0</v>
      </c>
      <c r="K66" s="2"/>
      <c r="L66" s="7">
        <f t="shared" si="43"/>
        <v>0</v>
      </c>
      <c r="M66" s="2"/>
      <c r="N66" s="6">
        <f t="shared" si="44"/>
        <v>0</v>
      </c>
      <c r="O66" s="11"/>
      <c r="P66" s="7">
        <v>183.22</v>
      </c>
      <c r="Q66" s="2"/>
      <c r="R66" s="6">
        <f t="shared" si="45"/>
        <v>1.8333773949630453E-3</v>
      </c>
      <c r="S66" s="2"/>
      <c r="T66" s="7"/>
      <c r="U66" s="2"/>
      <c r="V66" s="6">
        <f t="shared" si="46"/>
        <v>0</v>
      </c>
      <c r="W66" s="2"/>
      <c r="X66" s="7">
        <f t="shared" si="47"/>
        <v>183.22</v>
      </c>
      <c r="Y66" s="2"/>
      <c r="Z66" s="6">
        <f t="shared" si="48"/>
        <v>0</v>
      </c>
    </row>
    <row r="67" spans="1:26" s="29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SUM(OSRRefD22_9x_0)</f>
        <v>287.97000000000003</v>
      </c>
      <c r="E67" s="1"/>
      <c r="F67" s="5">
        <f t="shared" ref="F67:F69" si="49">IF(D$12=0,0,D67/D$12)</f>
        <v>4.793540031893679E-2</v>
      </c>
      <c r="G67" s="1"/>
      <c r="H67" s="1">
        <f>SUM(OSRRefH22_9x_0)</f>
        <v>0</v>
      </c>
      <c r="I67" s="1"/>
      <c r="J67" s="5">
        <f t="shared" ref="J67:J69" si="50">IF(H$12=0,0,H67/H$12)</f>
        <v>0</v>
      </c>
      <c r="K67" s="1"/>
      <c r="L67" s="1">
        <f t="shared" ref="L67:L69" si="51">+D67-H67</f>
        <v>287.97000000000003</v>
      </c>
      <c r="M67" s="1"/>
      <c r="N67" s="5">
        <f t="shared" ref="N67:N69" si="52">IF(H67=0,0,L67/H67)</f>
        <v>0</v>
      </c>
      <c r="O67" s="14"/>
      <c r="P67" s="1">
        <f>SUM(OSRRefP22_9x_0)</f>
        <v>3725.22</v>
      </c>
      <c r="Q67" s="1"/>
      <c r="R67" s="5">
        <f t="shared" ref="R67:R69" si="53">IF(P$12=0,0,P67/P$12)</f>
        <v>3.7276138736296448E-2</v>
      </c>
      <c r="S67" s="1"/>
      <c r="T67" s="1">
        <f>SUM(OSRRefT22_9x_0)</f>
        <v>18.5</v>
      </c>
      <c r="U67" s="1"/>
      <c r="V67" s="5">
        <f t="shared" ref="V67:V69" si="54">IF(T$12=0,0,T67/T$12)</f>
        <v>8.6805881403458724E-4</v>
      </c>
      <c r="W67" s="1"/>
      <c r="X67" s="1">
        <f t="shared" ref="X67:X69" si="55">+P67-T67</f>
        <v>3706.72</v>
      </c>
      <c r="Y67" s="1"/>
      <c r="Z67" s="5">
        <f t="shared" ref="Z67:Z69" si="56">IF(T67=0,0,X67/T67)</f>
        <v>200.36324324324323</v>
      </c>
    </row>
    <row r="68" spans="1:26" s="24" customFormat="1" hidden="1" outlineLevel="2" x14ac:dyDescent="0.3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69</v>
      </c>
      <c r="E68" s="2"/>
      <c r="F68" s="6">
        <f t="shared" si="49"/>
        <v>1.1485719422185084E-2</v>
      </c>
      <c r="G68" s="2"/>
      <c r="H68" s="7"/>
      <c r="I68" s="2"/>
      <c r="J68" s="6">
        <f t="shared" si="50"/>
        <v>0</v>
      </c>
      <c r="K68" s="2"/>
      <c r="L68" s="7">
        <f t="shared" si="51"/>
        <v>69</v>
      </c>
      <c r="M68" s="2"/>
      <c r="N68" s="6">
        <f t="shared" si="52"/>
        <v>0</v>
      </c>
      <c r="O68" s="11"/>
      <c r="P68" s="7">
        <v>698.6</v>
      </c>
      <c r="Q68" s="2"/>
      <c r="R68" s="6">
        <f t="shared" si="53"/>
        <v>6.9904892922234658E-3</v>
      </c>
      <c r="S68" s="2"/>
      <c r="T68" s="7">
        <v>176</v>
      </c>
      <c r="U68" s="2"/>
      <c r="V68" s="6">
        <f t="shared" si="54"/>
        <v>8.2582892578425601E-3</v>
      </c>
      <c r="W68" s="2"/>
      <c r="X68" s="7">
        <f t="shared" si="55"/>
        <v>522.6</v>
      </c>
      <c r="Y68" s="2"/>
      <c r="Z68" s="6">
        <f t="shared" si="56"/>
        <v>2.9693181818181817</v>
      </c>
    </row>
    <row r="69" spans="1:26" s="24" customFormat="1" hidden="1" outlineLevel="2" x14ac:dyDescent="0.3">
      <c r="A69" s="27"/>
      <c r="B69" s="11" t="str">
        <f>CONCATENATE("          ", "6285", " - ", "JANITORIAL SERVICES")</f>
        <v xml:space="preserve">          6285 - JANITORIAL SERVICES</v>
      </c>
      <c r="C69" s="11"/>
      <c r="D69" s="7">
        <v>218.97</v>
      </c>
      <c r="E69" s="2"/>
      <c r="F69" s="6">
        <f t="shared" si="49"/>
        <v>3.6449680896751706E-2</v>
      </c>
      <c r="G69" s="2"/>
      <c r="H69" s="7"/>
      <c r="I69" s="2"/>
      <c r="J69" s="6">
        <f t="shared" si="50"/>
        <v>0</v>
      </c>
      <c r="K69" s="2"/>
      <c r="L69" s="7">
        <f t="shared" si="51"/>
        <v>218.97</v>
      </c>
      <c r="M69" s="2"/>
      <c r="N69" s="6">
        <f t="shared" si="52"/>
        <v>0</v>
      </c>
      <c r="O69" s="11"/>
      <c r="P69" s="7">
        <v>3026.62</v>
      </c>
      <c r="Q69" s="2"/>
      <c r="R69" s="6">
        <f t="shared" si="53"/>
        <v>3.0285649444072985E-2</v>
      </c>
      <c r="S69" s="2"/>
      <c r="T69" s="7">
        <v>-157.5</v>
      </c>
      <c r="U69" s="2"/>
      <c r="V69" s="6">
        <f t="shared" si="54"/>
        <v>-7.3902304438079732E-3</v>
      </c>
      <c r="W69" s="2"/>
      <c r="X69" s="7">
        <f t="shared" si="55"/>
        <v>3184.12</v>
      </c>
      <c r="Y69" s="2"/>
      <c r="Z69" s="6">
        <f t="shared" si="56"/>
        <v>-20.21663492063492</v>
      </c>
    </row>
    <row r="70" spans="1:26" s="29" customFormat="1" outlineLevel="1" collapsed="1" x14ac:dyDescent="0.3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SUM(OSRRefD22_10x_0)</f>
        <v>0</v>
      </c>
      <c r="E70" s="1"/>
      <c r="F70" s="5">
        <f t="shared" ref="F70:F74" si="57">IF(D$12=0,0,D70/D$12)</f>
        <v>0</v>
      </c>
      <c r="G70" s="1"/>
      <c r="H70" s="1">
        <f>SUM(OSRRefH22_10x_0)</f>
        <v>0</v>
      </c>
      <c r="I70" s="1"/>
      <c r="J70" s="5">
        <f t="shared" ref="J70:J74" si="58">IF(H$12=0,0,H70/H$12)</f>
        <v>0</v>
      </c>
      <c r="K70" s="1"/>
      <c r="L70" s="1">
        <f t="shared" ref="L70:L74" si="59">+D70-H70</f>
        <v>0</v>
      </c>
      <c r="M70" s="1"/>
      <c r="N70" s="5">
        <f t="shared" ref="N70:N74" si="60">IF(H70=0,0,L70/H70)</f>
        <v>0</v>
      </c>
      <c r="O70" s="14"/>
      <c r="P70" s="1">
        <f>SUM(OSRRefP22_10x_0)</f>
        <v>1747.49</v>
      </c>
      <c r="Q70" s="1"/>
      <c r="R70" s="5">
        <f t="shared" ref="R70:R74" si="61">IF(P$12=0,0,P70/P$12)</f>
        <v>1.7486129592424255E-2</v>
      </c>
      <c r="S70" s="1"/>
      <c r="T70" s="1">
        <f>SUM(OSRRefT22_10x_0)</f>
        <v>1892.27</v>
      </c>
      <c r="U70" s="1"/>
      <c r="V70" s="5">
        <f t="shared" ref="V70:V74" si="62">IF(T$12=0,0,T70/T$12)</f>
        <v>8.8789278488282622E-2</v>
      </c>
      <c r="W70" s="1"/>
      <c r="X70" s="1">
        <f t="shared" ref="X70:X74" si="63">+P70-T70</f>
        <v>-144.77999999999997</v>
      </c>
      <c r="Y70" s="1"/>
      <c r="Z70" s="5">
        <f t="shared" ref="Z70:Z74" si="64">IF(T70=0,0,X70/T70)</f>
        <v>-7.6511280102733739E-2</v>
      </c>
    </row>
    <row r="71" spans="1:26" s="24" customFormat="1" hidden="1" outlineLevel="2" x14ac:dyDescent="0.3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57"/>
        <v>0</v>
      </c>
      <c r="G71" s="2"/>
      <c r="H71" s="7"/>
      <c r="I71" s="2"/>
      <c r="J71" s="6">
        <f t="shared" si="58"/>
        <v>0</v>
      </c>
      <c r="K71" s="2"/>
      <c r="L71" s="7">
        <f t="shared" si="59"/>
        <v>0</v>
      </c>
      <c r="M71" s="2"/>
      <c r="N71" s="6">
        <f t="shared" si="60"/>
        <v>0</v>
      </c>
      <c r="O71" s="11"/>
      <c r="P71" s="7">
        <v>1393.55</v>
      </c>
      <c r="Q71" s="2"/>
      <c r="R71" s="6">
        <f t="shared" si="61"/>
        <v>1.3944455129083898E-2</v>
      </c>
      <c r="S71" s="2"/>
      <c r="T71" s="7"/>
      <c r="U71" s="2"/>
      <c r="V71" s="6">
        <f t="shared" si="62"/>
        <v>0</v>
      </c>
      <c r="W71" s="2"/>
      <c r="X71" s="7">
        <f t="shared" si="63"/>
        <v>1393.55</v>
      </c>
      <c r="Y71" s="2"/>
      <c r="Z71" s="6">
        <f t="shared" si="64"/>
        <v>0</v>
      </c>
    </row>
    <row r="72" spans="1:26" s="24" customFormat="1" hidden="1" outlineLevel="2" x14ac:dyDescent="0.3">
      <c r="A72" s="27"/>
      <c r="B72" s="11" t="str">
        <f>CONCATENATE("          ", "6235", " - ", "COVID-19 EXPENSES")</f>
        <v xml:space="preserve">          6235 - COVID-19 EXPENSES</v>
      </c>
      <c r="C72" s="11"/>
      <c r="D72" s="7"/>
      <c r="E72" s="2"/>
      <c r="F72" s="6">
        <f t="shared" si="57"/>
        <v>0</v>
      </c>
      <c r="G72" s="2"/>
      <c r="H72" s="7"/>
      <c r="I72" s="2"/>
      <c r="J72" s="6">
        <f t="shared" si="58"/>
        <v>0</v>
      </c>
      <c r="K72" s="2"/>
      <c r="L72" s="7">
        <f t="shared" si="59"/>
        <v>0</v>
      </c>
      <c r="M72" s="2"/>
      <c r="N72" s="6">
        <f t="shared" si="60"/>
        <v>0</v>
      </c>
      <c r="O72" s="11"/>
      <c r="P72" s="7"/>
      <c r="Q72" s="2"/>
      <c r="R72" s="6">
        <f t="shared" si="61"/>
        <v>0</v>
      </c>
      <c r="S72" s="2"/>
      <c r="T72" s="7">
        <v>444.3</v>
      </c>
      <c r="U72" s="2"/>
      <c r="V72" s="6">
        <f t="shared" si="62"/>
        <v>2.0847488166246871E-2</v>
      </c>
      <c r="W72" s="2"/>
      <c r="X72" s="7">
        <f t="shared" si="63"/>
        <v>-444.3</v>
      </c>
      <c r="Y72" s="2"/>
      <c r="Z72" s="6">
        <f t="shared" si="64"/>
        <v>-1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57"/>
        <v>0</v>
      </c>
      <c r="G73" s="2"/>
      <c r="H73" s="7"/>
      <c r="I73" s="2"/>
      <c r="J73" s="6">
        <f t="shared" si="58"/>
        <v>0</v>
      </c>
      <c r="K73" s="2"/>
      <c r="L73" s="7">
        <f t="shared" si="59"/>
        <v>0</v>
      </c>
      <c r="M73" s="2"/>
      <c r="N73" s="6">
        <f t="shared" si="60"/>
        <v>0</v>
      </c>
      <c r="O73" s="11"/>
      <c r="P73" s="7">
        <v>11.03</v>
      </c>
      <c r="Q73" s="2"/>
      <c r="R73" s="6">
        <f t="shared" si="61"/>
        <v>1.1037088017925111E-4</v>
      </c>
      <c r="S73" s="2"/>
      <c r="T73" s="7">
        <v>225.24</v>
      </c>
      <c r="U73" s="2"/>
      <c r="V73" s="6">
        <f t="shared" si="62"/>
        <v>1.056873336611624E-2</v>
      </c>
      <c r="W73" s="2"/>
      <c r="X73" s="7">
        <f t="shared" si="63"/>
        <v>-214.21</v>
      </c>
      <c r="Y73" s="2"/>
      <c r="Z73" s="6">
        <f t="shared" si="64"/>
        <v>-0.95103001243118446</v>
      </c>
    </row>
    <row r="74" spans="1:26" s="24" customFormat="1" hidden="1" outlineLevel="2" x14ac:dyDescent="0.3">
      <c r="A74" s="27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57"/>
        <v>0</v>
      </c>
      <c r="G74" s="2"/>
      <c r="H74" s="7"/>
      <c r="I74" s="2"/>
      <c r="J74" s="6">
        <f t="shared" si="58"/>
        <v>0</v>
      </c>
      <c r="K74" s="2"/>
      <c r="L74" s="7">
        <f t="shared" si="59"/>
        <v>0</v>
      </c>
      <c r="M74" s="2"/>
      <c r="N74" s="6">
        <f t="shared" si="60"/>
        <v>0</v>
      </c>
      <c r="O74" s="11"/>
      <c r="P74" s="7">
        <v>342.91</v>
      </c>
      <c r="Q74" s="2"/>
      <c r="R74" s="6">
        <f t="shared" si="61"/>
        <v>3.4313035831611063E-3</v>
      </c>
      <c r="S74" s="2"/>
      <c r="T74" s="7">
        <v>1222.73</v>
      </c>
      <c r="U74" s="2"/>
      <c r="V74" s="6">
        <f t="shared" si="62"/>
        <v>5.7373056955919509E-2</v>
      </c>
      <c r="W74" s="2"/>
      <c r="X74" s="7">
        <f t="shared" si="63"/>
        <v>-879.81999999999994</v>
      </c>
      <c r="Y74" s="2"/>
      <c r="Z74" s="6">
        <f t="shared" si="64"/>
        <v>-0.7195537853818913</v>
      </c>
    </row>
    <row r="75" spans="1:26" s="29" customFormat="1" outlineLevel="1" collapsed="1" x14ac:dyDescent="0.3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SUM(OSRRefD22_11x_0)</f>
        <v>40.14</v>
      </c>
      <c r="E75" s="1"/>
      <c r="F75" s="5">
        <f t="shared" ref="F75:F78" si="65">IF(D$12=0,0,D75/D$12)</f>
        <v>6.6816924290798441E-3</v>
      </c>
      <c r="G75" s="1"/>
      <c r="H75" s="1">
        <f>SUM(OSRRefH22_11x_0)</f>
        <v>53</v>
      </c>
      <c r="I75" s="1"/>
      <c r="J75" s="5">
        <f t="shared" ref="J75:J78" si="66">IF(H$12=0,0,H75/H$12)</f>
        <v>0</v>
      </c>
      <c r="K75" s="1"/>
      <c r="L75" s="1">
        <f t="shared" ref="L75:L78" si="67">+D75-H75</f>
        <v>-12.86</v>
      </c>
      <c r="M75" s="1"/>
      <c r="N75" s="5">
        <f t="shared" ref="N75:N78" si="68">IF(H75=0,0,L75/H75)</f>
        <v>-0.24264150943396226</v>
      </c>
      <c r="O75" s="14"/>
      <c r="P75" s="1">
        <f>SUM(OSRRefP22_11x_0)</f>
        <v>318.14</v>
      </c>
      <c r="Q75" s="1"/>
      <c r="R75" s="5">
        <f t="shared" ref="R75:R78" si="69">IF(P$12=0,0,P75/P$12)</f>
        <v>3.1834444079988167E-3</v>
      </c>
      <c r="S75" s="1"/>
      <c r="T75" s="1">
        <f>SUM(OSRRefT22_11x_0)</f>
        <v>419.05</v>
      </c>
      <c r="U75" s="1"/>
      <c r="V75" s="5">
        <f t="shared" ref="V75:V78" si="70">IF(T$12=0,0,T75/T$12)</f>
        <v>1.9662705190334799E-2</v>
      </c>
      <c r="W75" s="1"/>
      <c r="X75" s="1">
        <f t="shared" ref="X75:X78" si="71">+P75-T75</f>
        <v>-100.91000000000003</v>
      </c>
      <c r="Y75" s="1"/>
      <c r="Z75" s="5">
        <f t="shared" ref="Z75:Z78" si="72">IF(T75=0,0,X75/T75)</f>
        <v>-0.2408065863262141</v>
      </c>
    </row>
    <row r="76" spans="1:26" s="24" customFormat="1" hidden="1" outlineLevel="2" x14ac:dyDescent="0.3">
      <c r="A76" s="27"/>
      <c r="B76" s="11" t="str">
        <f>CONCATENATE("          ", "6309", " - ", "TELEPHONE")</f>
        <v xml:space="preserve">          6309 - TELEPHONE</v>
      </c>
      <c r="C76" s="11"/>
      <c r="D76" s="7">
        <v>40.14</v>
      </c>
      <c r="E76" s="2"/>
      <c r="F76" s="6">
        <f t="shared" si="65"/>
        <v>6.6816924290798441E-3</v>
      </c>
      <c r="G76" s="2"/>
      <c r="H76" s="7">
        <v>53</v>
      </c>
      <c r="I76" s="2"/>
      <c r="J76" s="6">
        <f t="shared" si="66"/>
        <v>0</v>
      </c>
      <c r="K76" s="2"/>
      <c r="L76" s="7">
        <f t="shared" si="67"/>
        <v>-12.86</v>
      </c>
      <c r="M76" s="2"/>
      <c r="N76" s="6">
        <f t="shared" si="68"/>
        <v>-0.24264150943396226</v>
      </c>
      <c r="O76" s="11"/>
      <c r="P76" s="7">
        <v>318.14</v>
      </c>
      <c r="Q76" s="2"/>
      <c r="R76" s="6">
        <f t="shared" si="69"/>
        <v>3.1834444079988167E-3</v>
      </c>
      <c r="S76" s="2"/>
      <c r="T76" s="7">
        <v>419.05</v>
      </c>
      <c r="U76" s="2"/>
      <c r="V76" s="6">
        <f t="shared" si="70"/>
        <v>1.9662705190334799E-2</v>
      </c>
      <c r="W76" s="2"/>
      <c r="X76" s="7">
        <f t="shared" si="71"/>
        <v>-100.91000000000003</v>
      </c>
      <c r="Y76" s="2"/>
      <c r="Z76" s="6">
        <f t="shared" si="72"/>
        <v>-0.2408065863262141</v>
      </c>
    </row>
    <row r="77" spans="1:26" s="29" customFormat="1" outlineLevel="1" collapsed="1" x14ac:dyDescent="0.3">
      <c r="A77" s="28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SUM(OSRRefD22_12x_0)</f>
        <v>0</v>
      </c>
      <c r="E77" s="1"/>
      <c r="F77" s="5">
        <f t="shared" si="65"/>
        <v>0</v>
      </c>
      <c r="G77" s="1"/>
      <c r="H77" s="1">
        <f>SUM(OSRRefH22_12x_0)</f>
        <v>0</v>
      </c>
      <c r="I77" s="1"/>
      <c r="J77" s="5">
        <f t="shared" si="66"/>
        <v>0</v>
      </c>
      <c r="K77" s="1"/>
      <c r="L77" s="1">
        <f t="shared" si="67"/>
        <v>0</v>
      </c>
      <c r="M77" s="1"/>
      <c r="N77" s="5">
        <f t="shared" si="68"/>
        <v>0</v>
      </c>
      <c r="O77" s="14"/>
      <c r="P77" s="1">
        <f>SUM(OSRRefP22_12x_0)</f>
        <v>0</v>
      </c>
      <c r="Q77" s="1"/>
      <c r="R77" s="5">
        <f t="shared" si="69"/>
        <v>0</v>
      </c>
      <c r="S77" s="1"/>
      <c r="T77" s="1">
        <f>SUM(OSRRefT22_12x_0)</f>
        <v>14</v>
      </c>
      <c r="U77" s="1"/>
      <c r="V77" s="5">
        <f t="shared" si="70"/>
        <v>6.5690937278293094E-4</v>
      </c>
      <c r="W77" s="1"/>
      <c r="X77" s="1">
        <f t="shared" si="71"/>
        <v>-14</v>
      </c>
      <c r="Y77" s="1"/>
      <c r="Z77" s="5">
        <f t="shared" si="72"/>
        <v>-1</v>
      </c>
    </row>
    <row r="78" spans="1:26" s="24" customFormat="1" hidden="1" outlineLevel="2" x14ac:dyDescent="0.3">
      <c r="A78" s="27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5"/>
        <v>0</v>
      </c>
      <c r="G78" s="2"/>
      <c r="H78" s="7"/>
      <c r="I78" s="2"/>
      <c r="J78" s="6">
        <f t="shared" si="66"/>
        <v>0</v>
      </c>
      <c r="K78" s="2"/>
      <c r="L78" s="7">
        <f t="shared" si="67"/>
        <v>0</v>
      </c>
      <c r="M78" s="2"/>
      <c r="N78" s="6">
        <f t="shared" si="68"/>
        <v>0</v>
      </c>
      <c r="O78" s="11"/>
      <c r="P78" s="7"/>
      <c r="Q78" s="2"/>
      <c r="R78" s="6">
        <f t="shared" si="69"/>
        <v>0</v>
      </c>
      <c r="S78" s="2"/>
      <c r="T78" s="7">
        <v>14</v>
      </c>
      <c r="U78" s="2"/>
      <c r="V78" s="6">
        <f t="shared" si="70"/>
        <v>6.5690937278293094E-4</v>
      </c>
      <c r="W78" s="2"/>
      <c r="X78" s="7">
        <f t="shared" si="71"/>
        <v>-14</v>
      </c>
      <c r="Y78" s="2"/>
      <c r="Z78" s="6">
        <f t="shared" si="72"/>
        <v>-1</v>
      </c>
    </row>
    <row r="79" spans="1:26" s="52" customFormat="1" x14ac:dyDescent="0.3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3">
      <c r="A80" s="10"/>
      <c r="B80" s="26" t="s">
        <v>292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10"/>
      <c r="B82" s="25" t="s">
        <v>276</v>
      </c>
      <c r="C82" s="25"/>
      <c r="D82" s="21">
        <f>+D39-D41+D80</f>
        <v>-4245.4799999999996</v>
      </c>
      <c r="E82" s="13"/>
      <c r="F82" s="22">
        <f>IF(D$12=0,0,D82/D$12)</f>
        <v>-0.70670133467388874</v>
      </c>
      <c r="G82" s="13"/>
      <c r="H82" s="21">
        <f>+H39-H41+H80</f>
        <v>-71.52</v>
      </c>
      <c r="I82" s="13"/>
      <c r="J82" s="22">
        <f>IF(H$12=0,0,H82/H$12)</f>
        <v>0</v>
      </c>
      <c r="K82" s="15"/>
      <c r="L82" s="21">
        <f>+D82-H82</f>
        <v>-4173.9599999999991</v>
      </c>
      <c r="M82" s="15"/>
      <c r="N82" s="22">
        <f>IF(H82=0,0,L82/H82)</f>
        <v>58.360738255033546</v>
      </c>
      <c r="O82" s="26"/>
      <c r="P82" s="21">
        <f>+P39-P41+P80</f>
        <v>8572.5700000000143</v>
      </c>
      <c r="Q82" s="13"/>
      <c r="R82" s="22">
        <f>IF(P$12=0,0,P82/P$12)</f>
        <v>8.5780788422324963E-2</v>
      </c>
      <c r="S82" s="13"/>
      <c r="T82" s="21">
        <f>+T39-T41+T80</f>
        <v>-4899.0899999999929</v>
      </c>
      <c r="U82" s="13"/>
      <c r="V82" s="22">
        <f>IF(T$12=0,0,T82/T$12)</f>
        <v>-0.22987558136479461</v>
      </c>
      <c r="W82" s="15"/>
      <c r="X82" s="21">
        <f>+P82-T82</f>
        <v>13471.660000000007</v>
      </c>
      <c r="Y82" s="15"/>
      <c r="Z82" s="22">
        <f>IF(T82=0,0,X82/T82)</f>
        <v>-2.7498290498847799</v>
      </c>
    </row>
    <row r="83" spans="1:26" x14ac:dyDescent="0.3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51"/>
      <c r="B84" s="10" t="s">
        <v>127</v>
      </c>
      <c r="C84" s="10"/>
      <c r="D84" s="4">
        <v>1922.01</v>
      </c>
      <c r="E84" s="4"/>
      <c r="F84" s="12">
        <f>IF(D$12=0,0,D84/D$12)</f>
        <v>0.31993721140049203</v>
      </c>
      <c r="G84" s="4"/>
      <c r="H84" s="4">
        <v>-74.48</v>
      </c>
      <c r="I84" s="4"/>
      <c r="J84" s="12">
        <f>IF(H$12=0,0,H84/H$12)</f>
        <v>0</v>
      </c>
      <c r="K84" s="4"/>
      <c r="L84" s="4">
        <f>+D84-H84</f>
        <v>1996.49</v>
      </c>
      <c r="M84" s="4"/>
      <c r="N84" s="12">
        <f>IF(H84=0,0,L84/H84)</f>
        <v>-26.805719656283564</v>
      </c>
      <c r="O84" s="10"/>
      <c r="P84" s="4">
        <v>13228.24</v>
      </c>
      <c r="Q84" s="4"/>
      <c r="R84" s="12">
        <f>IF(P$12=0,0,P84/P$12)</f>
        <v>0.13236740634835692</v>
      </c>
      <c r="S84" s="4"/>
      <c r="T84" s="4">
        <v>3868.68</v>
      </c>
      <c r="U84" s="4"/>
      <c r="V84" s="12">
        <f>IF(T$12=0,0,T84/T$12)</f>
        <v>0.18152658230699065</v>
      </c>
      <c r="W84" s="4"/>
      <c r="X84" s="4">
        <f>+P84-T84</f>
        <v>9359.56</v>
      </c>
      <c r="Y84" s="4"/>
      <c r="Z84" s="12">
        <f>IF(T84=0,0,X84/T84)</f>
        <v>2.4193161491774973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5" t="s">
        <v>125</v>
      </c>
      <c r="C86" s="25"/>
      <c r="D86" s="36">
        <f>+D82-D84</f>
        <v>-6167.49</v>
      </c>
      <c r="E86" s="13"/>
      <c r="F86" s="31">
        <f>IF(D$12=0,0,D86/D$12)</f>
        <v>-1.0266385460743808</v>
      </c>
      <c r="G86" s="13"/>
      <c r="H86" s="36">
        <f>+H82-H84</f>
        <v>2.960000000000008</v>
      </c>
      <c r="I86" s="13"/>
      <c r="J86" s="31">
        <f>IF(H$12=0,0,H86/H$12)</f>
        <v>0</v>
      </c>
      <c r="K86" s="15"/>
      <c r="L86" s="36">
        <f>D86-H86</f>
        <v>-6170.45</v>
      </c>
      <c r="M86" s="15"/>
      <c r="N86" s="31">
        <f>IF(H86=0,0,L86/H86)</f>
        <v>-2084.6114864864808</v>
      </c>
      <c r="O86" s="26"/>
      <c r="P86" s="36">
        <f>+P82-P84</f>
        <v>-4655.6699999999855</v>
      </c>
      <c r="Q86" s="13"/>
      <c r="R86" s="31">
        <f>IF(P$12=0,0,P86/P$12)</f>
        <v>-4.6586617926031956E-2</v>
      </c>
      <c r="S86" s="13"/>
      <c r="T86" s="36">
        <f>+T82-T84</f>
        <v>-8767.7699999999932</v>
      </c>
      <c r="U86" s="13"/>
      <c r="V86" s="31">
        <f>IF(T$12=0,0,T86/T$12)</f>
        <v>-0.41140216367178528</v>
      </c>
      <c r="W86" s="15"/>
      <c r="X86" s="36">
        <f>P86-T86</f>
        <v>4112.1000000000076</v>
      </c>
      <c r="Y86" s="15"/>
      <c r="Z86" s="31">
        <f>IF(T86=0,0,X86/T86)</f>
        <v>-0.46900181003835761</v>
      </c>
    </row>
    <row r="87" spans="1:26" ht="15" thickTop="1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3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35">
      <c r="A89" s="10"/>
      <c r="B89" s="25" t="s">
        <v>293</v>
      </c>
      <c r="C89" s="25"/>
      <c r="D89" s="35">
        <f>SUM(D86:D88)</f>
        <v>-6167.49</v>
      </c>
      <c r="E89" s="13"/>
      <c r="F89" s="32">
        <f>IF(D$12=0,0,D89/D$12)</f>
        <v>-1.0266385460743808</v>
      </c>
      <c r="G89" s="13"/>
      <c r="H89" s="35">
        <f>SUM(H86:H88)</f>
        <v>2.960000000000008</v>
      </c>
      <c r="I89" s="13"/>
      <c r="J89" s="32">
        <f>IF(H$12=0,0,H89/H$12)</f>
        <v>0</v>
      </c>
      <c r="K89" s="15"/>
      <c r="L89" s="35">
        <f>+D89-H89</f>
        <v>-6170.45</v>
      </c>
      <c r="M89" s="15"/>
      <c r="N89" s="32">
        <f>IF(H89=0,0,L89/H89)</f>
        <v>-2084.6114864864808</v>
      </c>
      <c r="O89" s="26"/>
      <c r="P89" s="35">
        <f>SUM(P86:P88)</f>
        <v>-4655.6699999999855</v>
      </c>
      <c r="Q89" s="13"/>
      <c r="R89" s="32">
        <f>IF(P$12=0,0,P89/P$12)</f>
        <v>-4.6586617926031956E-2</v>
      </c>
      <c r="S89" s="13"/>
      <c r="T89" s="35">
        <f>SUM(T86:T88)</f>
        <v>-8767.7699999999932</v>
      </c>
      <c r="U89" s="13"/>
      <c r="V89" s="32">
        <f>IF(T$12=0,0,T89/T$12)</f>
        <v>-0.41140216367178528</v>
      </c>
      <c r="W89" s="15"/>
      <c r="X89" s="35">
        <f>+P89-T89</f>
        <v>4112.1000000000076</v>
      </c>
      <c r="Y89" s="15"/>
      <c r="Z89" s="32">
        <f>IF(T89=0,0,X89/T89)</f>
        <v>-0.46900181003835761</v>
      </c>
    </row>
    <row r="90" spans="1:26" ht="15" thickTop="1" x14ac:dyDescent="0.3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4">
        <v>44604.028475694446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3" t="s">
        <v>56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5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1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175915.92</v>
      </c>
      <c r="E12" s="4"/>
      <c r="F12" s="12"/>
      <c r="G12" s="4"/>
      <c r="H12" s="4">
        <f>SUM(OSRRefH13x_0)</f>
        <v>160292.38000000006</v>
      </c>
      <c r="I12" s="4"/>
      <c r="J12" s="12"/>
      <c r="K12" s="4"/>
      <c r="L12" s="4">
        <f t="shared" ref="L12:L54" si="0">+D12-H12</f>
        <v>15623.53999999995</v>
      </c>
      <c r="M12" s="4"/>
      <c r="N12" s="12">
        <f t="shared" ref="N12:N54" si="1">IF(H12=0,0,L12/H12)</f>
        <v>9.7469012563167035E-2</v>
      </c>
      <c r="O12" s="10"/>
      <c r="P12" s="4">
        <f>SUM(OSRRefP13x_0)</f>
        <v>2244549.41</v>
      </c>
      <c r="Q12" s="4"/>
      <c r="R12" s="12"/>
      <c r="S12" s="4"/>
      <c r="T12" s="4">
        <f>SUM(OSRRefT13x_0)</f>
        <v>1190812.9299999997</v>
      </c>
      <c r="U12" s="4"/>
      <c r="V12" s="12"/>
      <c r="W12" s="4"/>
      <c r="X12" s="4">
        <f t="shared" ref="X12:X54" si="2">+P12-T12</f>
        <v>1053736.4800000004</v>
      </c>
      <c r="Y12" s="4"/>
      <c r="Z12" s="12">
        <f t="shared" ref="Z12:Z54" si="3">IF(T12=0,0,X12/T12)</f>
        <v>0.8848883426215407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--171377.13</f>
        <v>171377.13</v>
      </c>
      <c r="E13" s="2"/>
      <c r="F13" s="19"/>
      <c r="G13" s="2"/>
      <c r="H13" s="2">
        <f>-11343.01</f>
        <v>-11343.01</v>
      </c>
      <c r="I13" s="2"/>
      <c r="J13" s="19"/>
      <c r="K13" s="2"/>
      <c r="L13" s="2">
        <f t="shared" si="0"/>
        <v>182720.14</v>
      </c>
      <c r="M13" s="2"/>
      <c r="N13" s="19">
        <f t="shared" si="1"/>
        <v>-16.108611382692956</v>
      </c>
      <c r="O13" s="11"/>
      <c r="P13" s="2">
        <f>--2130878.29</f>
        <v>2130878.29</v>
      </c>
      <c r="Q13" s="2"/>
      <c r="R13" s="19"/>
      <c r="S13" s="2"/>
      <c r="T13" s="2">
        <f>-92141.28</f>
        <v>-92141.28</v>
      </c>
      <c r="U13" s="2"/>
      <c r="V13" s="19"/>
      <c r="W13" s="2"/>
      <c r="X13" s="2">
        <f t="shared" si="2"/>
        <v>2223019.5699999998</v>
      </c>
      <c r="Y13" s="2"/>
      <c r="Z13" s="19">
        <f t="shared" si="3"/>
        <v>-24.126206733833087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--34.62</f>
        <v>34.619999999999997</v>
      </c>
      <c r="I14" s="2"/>
      <c r="J14" s="19"/>
      <c r="K14" s="2"/>
      <c r="L14" s="2">
        <f t="shared" si="0"/>
        <v>-34.619999999999997</v>
      </c>
      <c r="M14" s="2"/>
      <c r="N14" s="19">
        <f t="shared" si="1"/>
        <v>-1</v>
      </c>
      <c r="O14" s="11"/>
      <c r="P14" s="2">
        <f t="shared" ref="P14:P24" si="5">0</f>
        <v>0</v>
      </c>
      <c r="Q14" s="2"/>
      <c r="R14" s="19"/>
      <c r="S14" s="2"/>
      <c r="T14" s="2">
        <f>--389.49</f>
        <v>389.49</v>
      </c>
      <c r="U14" s="2"/>
      <c r="V14" s="19"/>
      <c r="W14" s="2"/>
      <c r="X14" s="2">
        <f t="shared" si="2"/>
        <v>-389.49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--8701.79</f>
        <v>8701.7900000000009</v>
      </c>
      <c r="I15" s="2"/>
      <c r="J15" s="19"/>
      <c r="K15" s="2"/>
      <c r="L15" s="2">
        <f t="shared" si="0"/>
        <v>-8701.7900000000009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--40685.9</f>
        <v>40685.9</v>
      </c>
      <c r="U15" s="2"/>
      <c r="V15" s="19"/>
      <c r="W15" s="2"/>
      <c r="X15" s="2">
        <f t="shared" si="2"/>
        <v>-40685.9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--21773.01</f>
        <v>21773.01</v>
      </c>
      <c r="I16" s="2"/>
      <c r="J16" s="19"/>
      <c r="K16" s="2"/>
      <c r="L16" s="2">
        <f t="shared" si="0"/>
        <v>-21773.01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--26472.77</f>
        <v>26472.77</v>
      </c>
      <c r="U16" s="2"/>
      <c r="V16" s="19"/>
      <c r="W16" s="2"/>
      <c r="X16" s="2">
        <f t="shared" si="2"/>
        <v>-26472.77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--477.59</f>
        <v>477.59</v>
      </c>
      <c r="I17" s="2"/>
      <c r="J17" s="19"/>
      <c r="K17" s="2"/>
      <c r="L17" s="2">
        <f t="shared" si="0"/>
        <v>-477.59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--2212.69</f>
        <v>2212.69</v>
      </c>
      <c r="U17" s="2"/>
      <c r="V17" s="19"/>
      <c r="W17" s="2"/>
      <c r="X17" s="2">
        <f t="shared" si="2"/>
        <v>-2212.69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--89991.91</f>
        <v>89991.91</v>
      </c>
      <c r="I19" s="2"/>
      <c r="J19" s="19"/>
      <c r="K19" s="2"/>
      <c r="L19" s="2">
        <f t="shared" si="0"/>
        <v>-89991.91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--598102.9</f>
        <v>598102.9</v>
      </c>
      <c r="U19" s="2"/>
      <c r="V19" s="19"/>
      <c r="W19" s="2"/>
      <c r="X19" s="2">
        <f t="shared" si="2"/>
        <v>-598102.9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--23919.25</f>
        <v>23919.25</v>
      </c>
      <c r="I20" s="2"/>
      <c r="J20" s="19"/>
      <c r="K20" s="2"/>
      <c r="L20" s="2">
        <f t="shared" si="0"/>
        <v>-23919.25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--160593.3</f>
        <v>160593.29999999999</v>
      </c>
      <c r="U20" s="2"/>
      <c r="V20" s="19"/>
      <c r="W20" s="2"/>
      <c r="X20" s="2">
        <f t="shared" si="2"/>
        <v>-160593.29999999999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--7611.45</f>
        <v>7611.45</v>
      </c>
      <c r="I21" s="2"/>
      <c r="J21" s="19"/>
      <c r="K21" s="2"/>
      <c r="L21" s="2">
        <f t="shared" si="0"/>
        <v>-7611.45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--59655.3</f>
        <v>59655.3</v>
      </c>
      <c r="U21" s="2"/>
      <c r="V21" s="19"/>
      <c r="W21" s="2"/>
      <c r="X21" s="2">
        <f t="shared" si="2"/>
        <v>-59655.3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--24827.31</f>
        <v>24827.31</v>
      </c>
      <c r="I22" s="2"/>
      <c r="J22" s="19"/>
      <c r="K22" s="2"/>
      <c r="L22" s="2">
        <f t="shared" si="0"/>
        <v>-24827.31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--117920.5</f>
        <v>117920.5</v>
      </c>
      <c r="U22" s="2"/>
      <c r="V22" s="19"/>
      <c r="W22" s="2"/>
      <c r="X22" s="2">
        <f t="shared" si="2"/>
        <v>-117920.5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--1261.95</f>
        <v>1261.95</v>
      </c>
      <c r="I23" s="2"/>
      <c r="J23" s="19"/>
      <c r="K23" s="2"/>
      <c r="L23" s="2">
        <f t="shared" si="0"/>
        <v>-1261.95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--27535.62</f>
        <v>27535.62</v>
      </c>
      <c r="U23" s="2"/>
      <c r="V23" s="19"/>
      <c r="W23" s="2"/>
      <c r="X23" s="2">
        <f t="shared" si="2"/>
        <v>-27535.62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--3388.52</f>
        <v>3388.52</v>
      </c>
      <c r="I24" s="2"/>
      <c r="J24" s="19"/>
      <c r="K24" s="2"/>
      <c r="L24" s="2">
        <f t="shared" si="0"/>
        <v>-3388.52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--125449.67</f>
        <v>125449.67</v>
      </c>
      <c r="U24" s="2"/>
      <c r="V24" s="19"/>
      <c r="W24" s="2"/>
      <c r="X24" s="2">
        <f t="shared" si="2"/>
        <v>-125449.67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--17495.36</f>
        <v>17495.36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17495.36</v>
      </c>
      <c r="M25" s="2"/>
      <c r="N25" s="19">
        <f t="shared" si="1"/>
        <v>0</v>
      </c>
      <c r="O25" s="11"/>
      <c r="P25" s="2">
        <f>--245679.31</f>
        <v>245679.31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245679.31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--2539.06</f>
        <v>2539.06</v>
      </c>
      <c r="I27" s="2"/>
      <c r="J27" s="19"/>
      <c r="K27" s="2"/>
      <c r="L27" s="2">
        <f t="shared" si="0"/>
        <v>-2539.06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--5745.17</f>
        <v>5745.17</v>
      </c>
      <c r="U27" s="2"/>
      <c r="V27" s="19"/>
      <c r="W27" s="2"/>
      <c r="X27" s="2">
        <f t="shared" si="2"/>
        <v>-5745.17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--4.72</f>
        <v>4.72</v>
      </c>
      <c r="I28" s="2"/>
      <c r="J28" s="19"/>
      <c r="K28" s="2"/>
      <c r="L28" s="2">
        <f t="shared" si="0"/>
        <v>-4.72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--29.5</f>
        <v>29.5</v>
      </c>
      <c r="U28" s="2"/>
      <c r="V28" s="19"/>
      <c r="W28" s="2"/>
      <c r="X28" s="2">
        <f t="shared" si="2"/>
        <v>-29.5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--1098.12</f>
        <v>1098.1199999999999</v>
      </c>
      <c r="I29" s="2"/>
      <c r="J29" s="19"/>
      <c r="K29" s="2"/>
      <c r="L29" s="2">
        <f t="shared" si="0"/>
        <v>-1098.1199999999999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--6793.11</f>
        <v>6793.11</v>
      </c>
      <c r="U29" s="2"/>
      <c r="V29" s="19"/>
      <c r="W29" s="2"/>
      <c r="X29" s="2">
        <f t="shared" si="2"/>
        <v>-6793.11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--68.25</f>
        <v>68.25</v>
      </c>
      <c r="U33" s="2"/>
      <c r="V33" s="19"/>
      <c r="W33" s="2"/>
      <c r="X33" s="2">
        <f t="shared" si="2"/>
        <v>-68.25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--9206.45</f>
        <v>9206.4500000000007</v>
      </c>
      <c r="I34" s="2"/>
      <c r="J34" s="19"/>
      <c r="K34" s="2"/>
      <c r="L34" s="2">
        <f t="shared" si="0"/>
        <v>-9206.4500000000007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--113177.42</f>
        <v>113177.42</v>
      </c>
      <c r="U34" s="2"/>
      <c r="V34" s="19"/>
      <c r="W34" s="2"/>
      <c r="X34" s="2">
        <f t="shared" si="2"/>
        <v>-113177.42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--1163.92</f>
        <v>1163.92</v>
      </c>
      <c r="I35" s="2"/>
      <c r="J35" s="19"/>
      <c r="K35" s="2"/>
      <c r="L35" s="2">
        <f t="shared" si="0"/>
        <v>-1163.92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--6613.52</f>
        <v>6613.52</v>
      </c>
      <c r="U35" s="2"/>
      <c r="V35" s="19"/>
      <c r="W35" s="2"/>
      <c r="X35" s="2">
        <f t="shared" si="2"/>
        <v>-6613.52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--51.7</f>
        <v>51.7</v>
      </c>
      <c r="I36" s="2"/>
      <c r="J36" s="19"/>
      <c r="K36" s="2"/>
      <c r="L36" s="2">
        <f t="shared" si="0"/>
        <v>-51.7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--1149.3</f>
        <v>1149.3</v>
      </c>
      <c r="U36" s="2"/>
      <c r="V36" s="19"/>
      <c r="W36" s="2"/>
      <c r="X36" s="2">
        <f t="shared" si="2"/>
        <v>-1149.3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--232.71</f>
        <v>232.71</v>
      </c>
      <c r="I37" s="2"/>
      <c r="J37" s="19"/>
      <c r="K37" s="2"/>
      <c r="L37" s="2">
        <f t="shared" si="0"/>
        <v>-232.71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--1969.74</f>
        <v>1969.74</v>
      </c>
      <c r="U37" s="2"/>
      <c r="V37" s="19"/>
      <c r="W37" s="2"/>
      <c r="X37" s="2">
        <f t="shared" si="2"/>
        <v>-1969.74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--119.9</f>
        <v>119.9</v>
      </c>
      <c r="I38" s="2"/>
      <c r="J38" s="19"/>
      <c r="K38" s="2"/>
      <c r="L38" s="2">
        <f t="shared" si="0"/>
        <v>-119.9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--609.4</f>
        <v>609.4</v>
      </c>
      <c r="U38" s="2"/>
      <c r="V38" s="19"/>
      <c r="W38" s="2"/>
      <c r="X38" s="2">
        <f t="shared" si="2"/>
        <v>-609.4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-1677.68</f>
        <v>-1677.68</v>
      </c>
      <c r="I39" s="2"/>
      <c r="J39" s="19"/>
      <c r="K39" s="2"/>
      <c r="L39" s="2">
        <f t="shared" si="0"/>
        <v>1677.68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--53716.09</f>
        <v>53716.09</v>
      </c>
      <c r="U39" s="2"/>
      <c r="V39" s="19"/>
      <c r="W39" s="2"/>
      <c r="X39" s="2">
        <f t="shared" si="2"/>
        <v>-53716.09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-8098.02</f>
        <v>-8098.02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-8098.02</v>
      </c>
      <c r="M40" s="2"/>
      <c r="N40" s="19">
        <f t="shared" si="1"/>
        <v>0</v>
      </c>
      <c r="O40" s="11"/>
      <c r="P40" s="2">
        <f>-64694.32</f>
        <v>-64694.32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-64694.32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-34.23</f>
        <v>-34.229999999999997</v>
      </c>
      <c r="U41" s="2"/>
      <c r="V41" s="19"/>
      <c r="W41" s="2"/>
      <c r="X41" s="2">
        <f t="shared" si="2"/>
        <v>34.229999999999997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-126.22</f>
        <v>-126.22</v>
      </c>
      <c r="I42" s="2"/>
      <c r="J42" s="19"/>
      <c r="K42" s="2"/>
      <c r="L42" s="2">
        <f t="shared" si="0"/>
        <v>126.22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-602.71</f>
        <v>-602.71</v>
      </c>
      <c r="U42" s="2"/>
      <c r="V42" s="19"/>
      <c r="W42" s="2"/>
      <c r="X42" s="2">
        <f t="shared" si="2"/>
        <v>602.71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-12473.84</f>
        <v>-12473.84</v>
      </c>
      <c r="I43" s="2"/>
      <c r="J43" s="19"/>
      <c r="K43" s="2"/>
      <c r="L43" s="2">
        <f t="shared" si="0"/>
        <v>12473.84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-12506.33</f>
        <v>-12506.33</v>
      </c>
      <c r="U43" s="2"/>
      <c r="V43" s="19"/>
      <c r="W43" s="2"/>
      <c r="X43" s="2">
        <f t="shared" si="2"/>
        <v>12506.33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-7168.03</f>
        <v>-7168.03</v>
      </c>
      <c r="I44" s="2"/>
      <c r="J44" s="19"/>
      <c r="K44" s="2"/>
      <c r="L44" s="2">
        <f t="shared" si="0"/>
        <v>7168.03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-27586.87</f>
        <v>-27586.87</v>
      </c>
      <c r="U44" s="2"/>
      <c r="V44" s="19"/>
      <c r="W44" s="2"/>
      <c r="X44" s="2">
        <f t="shared" si="2"/>
        <v>27586.87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-981.71</f>
        <v>-981.71</v>
      </c>
      <c r="I45" s="2"/>
      <c r="J45" s="19"/>
      <c r="K45" s="2"/>
      <c r="L45" s="2">
        <f t="shared" si="0"/>
        <v>981.71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-3703.37</f>
        <v>-3703.37</v>
      </c>
      <c r="U45" s="2"/>
      <c r="V45" s="19"/>
      <c r="W45" s="2"/>
      <c r="X45" s="2">
        <f t="shared" si="2"/>
        <v>3703.37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-76.86</f>
        <v>-76.86</v>
      </c>
      <c r="I46" s="2"/>
      <c r="J46" s="19"/>
      <c r="K46" s="2"/>
      <c r="L46" s="2">
        <f t="shared" si="0"/>
        <v>76.86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-1693.78</f>
        <v>-1693.78</v>
      </c>
      <c r="U46" s="2"/>
      <c r="V46" s="19"/>
      <c r="W46" s="2"/>
      <c r="X46" s="2">
        <f t="shared" si="2"/>
        <v>1693.78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-1422.25</f>
        <v>-1422.25</v>
      </c>
      <c r="I47" s="2"/>
      <c r="J47" s="19"/>
      <c r="K47" s="2"/>
      <c r="L47" s="2">
        <f t="shared" si="0"/>
        <v>1422.25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-4999.79</f>
        <v>-4999.79</v>
      </c>
      <c r="U47" s="2"/>
      <c r="V47" s="19"/>
      <c r="W47" s="2"/>
      <c r="X47" s="2">
        <f t="shared" si="2"/>
        <v>4999.79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-93.98</f>
        <v>-93.98</v>
      </c>
      <c r="I48" s="2"/>
      <c r="J48" s="19"/>
      <c r="K48" s="2"/>
      <c r="L48" s="2">
        <f t="shared" si="0"/>
        <v>93.98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-984.85</f>
        <v>-984.85</v>
      </c>
      <c r="U48" s="2"/>
      <c r="V48" s="19"/>
      <c r="W48" s="2"/>
      <c r="X48" s="2">
        <f t="shared" si="2"/>
        <v>984.85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 t="shared" ref="H49:H50" si="13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2"/>
        <v>0</v>
      </c>
      <c r="Q49" s="2"/>
      <c r="R49" s="19"/>
      <c r="S49" s="2"/>
      <c r="T49" s="2">
        <f>-11345.61</f>
        <v>-11345.61</v>
      </c>
      <c r="U49" s="2"/>
      <c r="V49" s="19"/>
      <c r="W49" s="2"/>
      <c r="X49" s="2">
        <f t="shared" si="2"/>
        <v>11345.61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-376.59</f>
        <v>-376.59</v>
      </c>
      <c r="E50" s="2"/>
      <c r="F50" s="19"/>
      <c r="G50" s="2"/>
      <c r="H50" s="2">
        <f t="shared" si="13"/>
        <v>0</v>
      </c>
      <c r="I50" s="2"/>
      <c r="J50" s="19"/>
      <c r="K50" s="2"/>
      <c r="L50" s="2">
        <f t="shared" si="0"/>
        <v>-376.59</v>
      </c>
      <c r="M50" s="2"/>
      <c r="N50" s="19">
        <f t="shared" si="1"/>
        <v>0</v>
      </c>
      <c r="O50" s="11"/>
      <c r="P50" s="2">
        <f>-1652.79</f>
        <v>-1652.79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-1652.79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4">0</f>
        <v>0</v>
      </c>
      <c r="E51" s="2"/>
      <c r="F51" s="19"/>
      <c r="G51" s="2"/>
      <c r="H51" s="2">
        <f>-732.22</f>
        <v>-732.22</v>
      </c>
      <c r="I51" s="2"/>
      <c r="J51" s="19"/>
      <c r="K51" s="2"/>
      <c r="L51" s="2">
        <f t="shared" si="0"/>
        <v>732.22</v>
      </c>
      <c r="M51" s="2"/>
      <c r="N51" s="19">
        <f t="shared" si="1"/>
        <v>-1</v>
      </c>
      <c r="O51" s="11"/>
      <c r="P51" s="2">
        <f t="shared" ref="P51:P53" si="15">0</f>
        <v>0</v>
      </c>
      <c r="Q51" s="2"/>
      <c r="R51" s="19"/>
      <c r="S51" s="2"/>
      <c r="T51" s="2">
        <f>-2215.94</f>
        <v>-2215.94</v>
      </c>
      <c r="U51" s="2"/>
      <c r="V51" s="19"/>
      <c r="W51" s="2"/>
      <c r="X51" s="2">
        <f t="shared" si="2"/>
        <v>2215.94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4"/>
        <v>0</v>
      </c>
      <c r="E52" s="2"/>
      <c r="F52" s="19"/>
      <c r="G52" s="2"/>
      <c r="H52" s="2">
        <f>-15.8</f>
        <v>-15.8</v>
      </c>
      <c r="I52" s="2"/>
      <c r="J52" s="19"/>
      <c r="K52" s="2"/>
      <c r="L52" s="2">
        <f t="shared" si="0"/>
        <v>15.8</v>
      </c>
      <c r="M52" s="2"/>
      <c r="N52" s="19">
        <f t="shared" si="1"/>
        <v>-1</v>
      </c>
      <c r="O52" s="11"/>
      <c r="P52" s="2">
        <f t="shared" si="15"/>
        <v>0</v>
      </c>
      <c r="Q52" s="2"/>
      <c r="R52" s="19"/>
      <c r="S52" s="2"/>
      <c r="T52" s="2">
        <f>-351.44</f>
        <v>-351.44</v>
      </c>
      <c r="U52" s="2"/>
      <c r="V52" s="19"/>
      <c r="W52" s="2"/>
      <c r="X52" s="2">
        <f t="shared" si="2"/>
        <v>351.44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4"/>
        <v>0</v>
      </c>
      <c r="E53" s="2"/>
      <c r="F53" s="19"/>
      <c r="G53" s="2"/>
      <c r="H53" s="2">
        <f t="shared" ref="H53:H54" si="16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5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-4481.96</f>
        <v>-4481.96</v>
      </c>
      <c r="E54" s="2"/>
      <c r="F54" s="19"/>
      <c r="G54" s="2"/>
      <c r="H54" s="2">
        <f t="shared" si="16"/>
        <v>0</v>
      </c>
      <c r="I54" s="2"/>
      <c r="J54" s="19"/>
      <c r="K54" s="2"/>
      <c r="L54" s="2">
        <f t="shared" si="0"/>
        <v>-4481.96</v>
      </c>
      <c r="M54" s="2"/>
      <c r="N54" s="19">
        <f t="shared" si="1"/>
        <v>0</v>
      </c>
      <c r="O54" s="11"/>
      <c r="P54" s="2">
        <f>-65661.08</f>
        <v>-65661.08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-65661.08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6" t="s">
        <v>256</v>
      </c>
      <c r="C56" s="10"/>
      <c r="D56" s="4">
        <f>SUM(OSRRefD16x_0)</f>
        <v>82437.159999999989</v>
      </c>
      <c r="E56" s="4"/>
      <c r="F56" s="12">
        <f t="shared" ref="F56:F81" si="17">IF(D$12=0,0,D56/D$12)</f>
        <v>0.46861682558349455</v>
      </c>
      <c r="G56" s="4"/>
      <c r="H56" s="4">
        <f>SUM(OSRRefH16x_0)</f>
        <v>84702.999999999985</v>
      </c>
      <c r="I56" s="4"/>
      <c r="J56" s="12">
        <f t="shared" ref="J56:J81" si="18">IF(H$12=0,0,H56/H$12)</f>
        <v>0.52842811367577147</v>
      </c>
      <c r="K56" s="4"/>
      <c r="L56" s="4">
        <f t="shared" ref="L56:L81" si="19">+D56-H56</f>
        <v>-2265.8399999999965</v>
      </c>
      <c r="M56" s="4"/>
      <c r="N56" s="12">
        <f t="shared" ref="N56:N81" si="20">IF(H56=0,0,L56/H56)</f>
        <v>-2.6750410257015654E-2</v>
      </c>
      <c r="O56" s="10"/>
      <c r="P56" s="4">
        <f>SUM(OSRRefP16x_0)</f>
        <v>1099888.01</v>
      </c>
      <c r="Q56" s="4"/>
      <c r="R56" s="12">
        <f t="shared" ref="R56:R81" si="21">IF(P$12=0,0,P56/P$12)</f>
        <v>0.49002619639368949</v>
      </c>
      <c r="S56" s="4"/>
      <c r="T56" s="4">
        <f>SUM(OSRRefT16x_0)</f>
        <v>682910.54000000015</v>
      </c>
      <c r="U56" s="4"/>
      <c r="V56" s="12">
        <f t="shared" ref="V56:V81" si="22">IF(T$12=0,0,T56/T$12)</f>
        <v>0.57348263761294593</v>
      </c>
      <c r="W56" s="4"/>
      <c r="X56" s="4">
        <f t="shared" ref="X56:X81" si="23">+P56-T56</f>
        <v>416977.46999999986</v>
      </c>
      <c r="Y56" s="4"/>
      <c r="Z56" s="12">
        <f t="shared" ref="Z56:Z81" si="24">IF(T56=0,0,X56/T56)</f>
        <v>0.61058871634928902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170692.77</v>
      </c>
      <c r="E57" s="2"/>
      <c r="F57" s="19">
        <f t="shared" si="17"/>
        <v>0.97030882708057331</v>
      </c>
      <c r="G57" s="2"/>
      <c r="H57" s="2"/>
      <c r="I57" s="2"/>
      <c r="J57" s="19">
        <f t="shared" si="18"/>
        <v>0</v>
      </c>
      <c r="K57" s="2"/>
      <c r="L57" s="2">
        <f t="shared" si="19"/>
        <v>170692.77</v>
      </c>
      <c r="M57" s="2"/>
      <c r="N57" s="19">
        <f t="shared" si="20"/>
        <v>0</v>
      </c>
      <c r="O57" s="11"/>
      <c r="P57" s="2">
        <v>1215908.17</v>
      </c>
      <c r="Q57" s="2"/>
      <c r="R57" s="19">
        <f t="shared" si="21"/>
        <v>0.54171592952368997</v>
      </c>
      <c r="S57" s="2"/>
      <c r="T57" s="2"/>
      <c r="U57" s="2"/>
      <c r="V57" s="19">
        <f t="shared" si="22"/>
        <v>0</v>
      </c>
      <c r="W57" s="2"/>
      <c r="X57" s="2">
        <f t="shared" si="23"/>
        <v>1215908.17</v>
      </c>
      <c r="Y57" s="2"/>
      <c r="Z57" s="19">
        <f t="shared" si="24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7"/>
        <v>0</v>
      </c>
      <c r="G58" s="2"/>
      <c r="H58" s="2"/>
      <c r="I58" s="2"/>
      <c r="J58" s="19">
        <f t="shared" si="18"/>
        <v>0</v>
      </c>
      <c r="K58" s="2"/>
      <c r="L58" s="2">
        <f t="shared" si="19"/>
        <v>0</v>
      </c>
      <c r="M58" s="2"/>
      <c r="N58" s="19">
        <f t="shared" si="20"/>
        <v>0</v>
      </c>
      <c r="O58" s="11"/>
      <c r="P58" s="2"/>
      <c r="Q58" s="2"/>
      <c r="R58" s="19">
        <f t="shared" si="21"/>
        <v>0</v>
      </c>
      <c r="S58" s="2"/>
      <c r="T58" s="2">
        <v>599.29</v>
      </c>
      <c r="U58" s="2"/>
      <c r="V58" s="19">
        <f t="shared" si="22"/>
        <v>5.0326124691978287E-4</v>
      </c>
      <c r="W58" s="2"/>
      <c r="X58" s="2">
        <f t="shared" si="23"/>
        <v>-599.29</v>
      </c>
      <c r="Y58" s="2"/>
      <c r="Z58" s="19">
        <f t="shared" si="24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7"/>
        <v>0</v>
      </c>
      <c r="G59" s="2"/>
      <c r="H59" s="2"/>
      <c r="I59" s="2"/>
      <c r="J59" s="19">
        <f t="shared" si="18"/>
        <v>0</v>
      </c>
      <c r="K59" s="2"/>
      <c r="L59" s="2">
        <f t="shared" si="19"/>
        <v>0</v>
      </c>
      <c r="M59" s="2"/>
      <c r="N59" s="19">
        <f t="shared" si="20"/>
        <v>0</v>
      </c>
      <c r="O59" s="11"/>
      <c r="P59" s="2"/>
      <c r="Q59" s="2"/>
      <c r="R59" s="19">
        <f t="shared" si="21"/>
        <v>0</v>
      </c>
      <c r="S59" s="2"/>
      <c r="T59" s="2">
        <v>10</v>
      </c>
      <c r="U59" s="2"/>
      <c r="V59" s="19">
        <f t="shared" si="22"/>
        <v>8.3976246378177995E-6</v>
      </c>
      <c r="W59" s="2"/>
      <c r="X59" s="2">
        <f t="shared" si="23"/>
        <v>-10</v>
      </c>
      <c r="Y59" s="2"/>
      <c r="Z59" s="19">
        <f t="shared" si="24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7"/>
        <v>0</v>
      </c>
      <c r="G60" s="2"/>
      <c r="H60" s="2"/>
      <c r="I60" s="2"/>
      <c r="J60" s="19">
        <f t="shared" si="18"/>
        <v>0</v>
      </c>
      <c r="K60" s="2"/>
      <c r="L60" s="2">
        <f t="shared" si="19"/>
        <v>0</v>
      </c>
      <c r="M60" s="2"/>
      <c r="N60" s="19">
        <f t="shared" si="20"/>
        <v>0</v>
      </c>
      <c r="O60" s="11"/>
      <c r="P60" s="2">
        <v>0</v>
      </c>
      <c r="Q60" s="2"/>
      <c r="R60" s="19">
        <f t="shared" si="21"/>
        <v>0</v>
      </c>
      <c r="S60" s="2"/>
      <c r="T60" s="2">
        <v>18175.88</v>
      </c>
      <c r="U60" s="2"/>
      <c r="V60" s="19">
        <f t="shared" si="22"/>
        <v>1.526342177020198E-2</v>
      </c>
      <c r="W60" s="2"/>
      <c r="X60" s="2">
        <f t="shared" si="23"/>
        <v>-18175.88</v>
      </c>
      <c r="Y60" s="2"/>
      <c r="Z60" s="19">
        <f t="shared" si="24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7"/>
        <v>0</v>
      </c>
      <c r="G61" s="2"/>
      <c r="H61" s="2"/>
      <c r="I61" s="2"/>
      <c r="J61" s="19">
        <f t="shared" si="18"/>
        <v>0</v>
      </c>
      <c r="K61" s="2"/>
      <c r="L61" s="2">
        <f t="shared" si="19"/>
        <v>0</v>
      </c>
      <c r="M61" s="2"/>
      <c r="N61" s="19">
        <f t="shared" si="20"/>
        <v>0</v>
      </c>
      <c r="O61" s="11"/>
      <c r="P61" s="2">
        <v>0</v>
      </c>
      <c r="Q61" s="2"/>
      <c r="R61" s="19">
        <f t="shared" si="21"/>
        <v>0</v>
      </c>
      <c r="S61" s="2"/>
      <c r="T61" s="2">
        <v>-83.4</v>
      </c>
      <c r="U61" s="2"/>
      <c r="V61" s="19">
        <f t="shared" si="22"/>
        <v>-7.003618947940045E-5</v>
      </c>
      <c r="W61" s="2"/>
      <c r="X61" s="2">
        <f t="shared" si="23"/>
        <v>83.4</v>
      </c>
      <c r="Y61" s="2"/>
      <c r="Z61" s="19">
        <f t="shared" si="24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7"/>
        <v>0</v>
      </c>
      <c r="G62" s="2"/>
      <c r="H62" s="2">
        <v>239.16</v>
      </c>
      <c r="I62" s="2"/>
      <c r="J62" s="19">
        <f t="shared" si="18"/>
        <v>1.492023513531959E-3</v>
      </c>
      <c r="K62" s="2"/>
      <c r="L62" s="2">
        <f t="shared" si="19"/>
        <v>-239.16</v>
      </c>
      <c r="M62" s="2"/>
      <c r="N62" s="19">
        <f t="shared" si="20"/>
        <v>-1</v>
      </c>
      <c r="O62" s="11"/>
      <c r="P62" s="2">
        <v>0</v>
      </c>
      <c r="Q62" s="2"/>
      <c r="R62" s="19">
        <f t="shared" si="21"/>
        <v>0</v>
      </c>
      <c r="S62" s="2"/>
      <c r="T62" s="2">
        <v>5072.6899999999996</v>
      </c>
      <c r="U62" s="2"/>
      <c r="V62" s="19">
        <f t="shared" si="22"/>
        <v>4.2598546524011969E-3</v>
      </c>
      <c r="W62" s="2"/>
      <c r="X62" s="2">
        <f t="shared" si="23"/>
        <v>-5072.6899999999996</v>
      </c>
      <c r="Y62" s="2"/>
      <c r="Z62" s="19">
        <f t="shared" si="24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7"/>
        <v>0</v>
      </c>
      <c r="G63" s="2"/>
      <c r="H63" s="2">
        <v>34900.79</v>
      </c>
      <c r="I63" s="2"/>
      <c r="J63" s="19">
        <f t="shared" si="18"/>
        <v>0.21773205937799406</v>
      </c>
      <c r="K63" s="2"/>
      <c r="L63" s="2">
        <f t="shared" si="19"/>
        <v>-34900.79</v>
      </c>
      <c r="M63" s="2"/>
      <c r="N63" s="19">
        <f t="shared" si="20"/>
        <v>-1</v>
      </c>
      <c r="O63" s="11"/>
      <c r="P63" s="2">
        <v>0</v>
      </c>
      <c r="Q63" s="2"/>
      <c r="R63" s="19">
        <f t="shared" si="21"/>
        <v>0</v>
      </c>
      <c r="S63" s="2"/>
      <c r="T63" s="2">
        <v>167371.19</v>
      </c>
      <c r="U63" s="2"/>
      <c r="V63" s="19">
        <f t="shared" si="22"/>
        <v>0.14055204288048842</v>
      </c>
      <c r="W63" s="2"/>
      <c r="X63" s="2">
        <f t="shared" si="23"/>
        <v>-167371.19</v>
      </c>
      <c r="Y63" s="2"/>
      <c r="Z63" s="19">
        <f t="shared" si="24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7"/>
        <v>0</v>
      </c>
      <c r="G64" s="2"/>
      <c r="H64" s="2">
        <v>8769.24</v>
      </c>
      <c r="I64" s="2"/>
      <c r="J64" s="19">
        <f t="shared" si="18"/>
        <v>5.4707778373494713E-2</v>
      </c>
      <c r="K64" s="2"/>
      <c r="L64" s="2">
        <f t="shared" si="19"/>
        <v>-8769.24</v>
      </c>
      <c r="M64" s="2"/>
      <c r="N64" s="19">
        <f t="shared" si="20"/>
        <v>-1</v>
      </c>
      <c r="O64" s="11"/>
      <c r="P64" s="2">
        <v>0</v>
      </c>
      <c r="Q64" s="2"/>
      <c r="R64" s="19">
        <f t="shared" si="21"/>
        <v>0</v>
      </c>
      <c r="S64" s="2"/>
      <c r="T64" s="2">
        <v>40971</v>
      </c>
      <c r="U64" s="2"/>
      <c r="V64" s="19">
        <f t="shared" si="22"/>
        <v>3.4405907903603303E-2</v>
      </c>
      <c r="W64" s="2"/>
      <c r="X64" s="2">
        <f t="shared" si="23"/>
        <v>-40971</v>
      </c>
      <c r="Y64" s="2"/>
      <c r="Z64" s="19">
        <f t="shared" si="24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7"/>
        <v>0</v>
      </c>
      <c r="G65" s="2"/>
      <c r="H65" s="2">
        <v>6760.7</v>
      </c>
      <c r="I65" s="2"/>
      <c r="J65" s="19">
        <f t="shared" si="18"/>
        <v>4.2177301254120732E-2</v>
      </c>
      <c r="K65" s="2"/>
      <c r="L65" s="2">
        <f t="shared" si="19"/>
        <v>-6760.7</v>
      </c>
      <c r="M65" s="2"/>
      <c r="N65" s="19">
        <f t="shared" si="20"/>
        <v>-1</v>
      </c>
      <c r="O65" s="11"/>
      <c r="P65" s="2">
        <v>0</v>
      </c>
      <c r="Q65" s="2"/>
      <c r="R65" s="19">
        <f t="shared" si="21"/>
        <v>0</v>
      </c>
      <c r="S65" s="2"/>
      <c r="T65" s="2">
        <v>17821.98</v>
      </c>
      <c r="U65" s="2"/>
      <c r="V65" s="19">
        <f t="shared" si="22"/>
        <v>1.4966229834269606E-2</v>
      </c>
      <c r="W65" s="2"/>
      <c r="X65" s="2">
        <f t="shared" si="23"/>
        <v>-17821.98</v>
      </c>
      <c r="Y65" s="2"/>
      <c r="Z65" s="19">
        <f t="shared" si="24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7"/>
        <v>0</v>
      </c>
      <c r="G66" s="2"/>
      <c r="H66" s="2">
        <v>8743.1</v>
      </c>
      <c r="I66" s="2"/>
      <c r="J66" s="19">
        <f t="shared" si="18"/>
        <v>5.4544701376322426E-2</v>
      </c>
      <c r="K66" s="2"/>
      <c r="L66" s="2">
        <f t="shared" si="19"/>
        <v>-8743.1</v>
      </c>
      <c r="M66" s="2"/>
      <c r="N66" s="19">
        <f t="shared" si="20"/>
        <v>-1</v>
      </c>
      <c r="O66" s="11"/>
      <c r="P66" s="2">
        <v>0</v>
      </c>
      <c r="Q66" s="2"/>
      <c r="R66" s="19">
        <f t="shared" si="21"/>
        <v>0</v>
      </c>
      <c r="S66" s="2"/>
      <c r="T66" s="2">
        <v>55364.33</v>
      </c>
      <c r="U66" s="2"/>
      <c r="V66" s="19">
        <f t="shared" si="22"/>
        <v>4.6492886166427515E-2</v>
      </c>
      <c r="W66" s="2"/>
      <c r="X66" s="2">
        <f t="shared" si="23"/>
        <v>-55364.33</v>
      </c>
      <c r="Y66" s="2"/>
      <c r="Z66" s="19">
        <f t="shared" si="24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7"/>
        <v>0</v>
      </c>
      <c r="G67" s="2"/>
      <c r="H67" s="2">
        <v>782.5</v>
      </c>
      <c r="I67" s="2"/>
      <c r="J67" s="19">
        <f t="shared" si="18"/>
        <v>4.8817042956128031E-3</v>
      </c>
      <c r="K67" s="2"/>
      <c r="L67" s="2">
        <f t="shared" si="19"/>
        <v>-782.5</v>
      </c>
      <c r="M67" s="2"/>
      <c r="N67" s="19">
        <f t="shared" si="20"/>
        <v>-1</v>
      </c>
      <c r="O67" s="11"/>
      <c r="P67" s="2">
        <v>0</v>
      </c>
      <c r="Q67" s="2"/>
      <c r="R67" s="19">
        <f t="shared" si="21"/>
        <v>0</v>
      </c>
      <c r="S67" s="2"/>
      <c r="T67" s="2">
        <v>1064.83</v>
      </c>
      <c r="U67" s="2"/>
      <c r="V67" s="19">
        <f t="shared" si="22"/>
        <v>8.9420426430875262E-4</v>
      </c>
      <c r="W67" s="2"/>
      <c r="X67" s="2">
        <f t="shared" si="23"/>
        <v>-1064.83</v>
      </c>
      <c r="Y67" s="2"/>
      <c r="Z67" s="19">
        <f t="shared" si="24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7"/>
        <v>0</v>
      </c>
      <c r="G68" s="2"/>
      <c r="H68" s="2">
        <v>5855.38</v>
      </c>
      <c r="I68" s="2"/>
      <c r="J68" s="19">
        <f t="shared" si="18"/>
        <v>3.6529372138588236E-2</v>
      </c>
      <c r="K68" s="2"/>
      <c r="L68" s="2">
        <f t="shared" si="19"/>
        <v>-5855.38</v>
      </c>
      <c r="M68" s="2"/>
      <c r="N68" s="19">
        <f t="shared" si="20"/>
        <v>-1</v>
      </c>
      <c r="O68" s="11"/>
      <c r="P68" s="2">
        <v>0</v>
      </c>
      <c r="Q68" s="2"/>
      <c r="R68" s="19">
        <f t="shared" si="21"/>
        <v>0</v>
      </c>
      <c r="S68" s="2"/>
      <c r="T68" s="2">
        <v>93464.38</v>
      </c>
      <c r="U68" s="2"/>
      <c r="V68" s="19">
        <f t="shared" si="22"/>
        <v>7.8487878024636526E-2</v>
      </c>
      <c r="W68" s="2"/>
      <c r="X68" s="2">
        <f t="shared" si="23"/>
        <v>-93464.38</v>
      </c>
      <c r="Y68" s="2"/>
      <c r="Z68" s="19">
        <f t="shared" si="24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-181131.13</v>
      </c>
      <c r="E69" s="2"/>
      <c r="F69" s="19">
        <f t="shared" si="17"/>
        <v>-1.0296460377207475</v>
      </c>
      <c r="G69" s="2"/>
      <c r="H69" s="2">
        <v>-68791.67</v>
      </c>
      <c r="I69" s="2"/>
      <c r="J69" s="19">
        <f t="shared" si="18"/>
        <v>-0.42916369449377428</v>
      </c>
      <c r="K69" s="2"/>
      <c r="L69" s="2">
        <f t="shared" si="19"/>
        <v>-112339.46</v>
      </c>
      <c r="M69" s="2"/>
      <c r="N69" s="19">
        <f t="shared" si="20"/>
        <v>1.633038709483285</v>
      </c>
      <c r="O69" s="11"/>
      <c r="P69" s="2">
        <v>-1258289.42</v>
      </c>
      <c r="Q69" s="2"/>
      <c r="R69" s="19">
        <f t="shared" si="21"/>
        <v>-0.5605977816278056</v>
      </c>
      <c r="S69" s="2"/>
      <c r="T69" s="2">
        <v>-417276.97</v>
      </c>
      <c r="U69" s="2"/>
      <c r="V69" s="19">
        <f t="shared" si="22"/>
        <v>-0.35041353640659584</v>
      </c>
      <c r="W69" s="2"/>
      <c r="X69" s="2">
        <f t="shared" si="23"/>
        <v>-841012.45</v>
      </c>
      <c r="Y69" s="2"/>
      <c r="Z69" s="19">
        <f t="shared" si="24"/>
        <v>2.0154777533013624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82437.16</v>
      </c>
      <c r="E70" s="2"/>
      <c r="F70" s="19">
        <f t="shared" si="17"/>
        <v>0.46861682558349466</v>
      </c>
      <c r="G70" s="2"/>
      <c r="H70" s="2">
        <v>84703</v>
      </c>
      <c r="I70" s="2"/>
      <c r="J70" s="19">
        <f t="shared" si="18"/>
        <v>0.52842811367577158</v>
      </c>
      <c r="K70" s="2"/>
      <c r="L70" s="2">
        <f t="shared" si="19"/>
        <v>-2265.8399999999965</v>
      </c>
      <c r="M70" s="2"/>
      <c r="N70" s="19">
        <f t="shared" si="20"/>
        <v>-2.6750410257015651E-2</v>
      </c>
      <c r="O70" s="11"/>
      <c r="P70" s="2">
        <v>1099888.01</v>
      </c>
      <c r="Q70" s="2"/>
      <c r="R70" s="19">
        <f t="shared" si="21"/>
        <v>0.49002619639368949</v>
      </c>
      <c r="S70" s="2"/>
      <c r="T70" s="2">
        <v>681994</v>
      </c>
      <c r="U70" s="2"/>
      <c r="V70" s="19">
        <f t="shared" si="22"/>
        <v>0.57271296172439123</v>
      </c>
      <c r="W70" s="2"/>
      <c r="X70" s="2">
        <f t="shared" si="23"/>
        <v>417894.01</v>
      </c>
      <c r="Y70" s="2"/>
      <c r="Z70" s="19">
        <f t="shared" si="24"/>
        <v>0.61275320603993588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10438.36</v>
      </c>
      <c r="E71" s="2"/>
      <c r="F71" s="19">
        <f t="shared" si="17"/>
        <v>5.9337210640174012E-2</v>
      </c>
      <c r="G71" s="2"/>
      <c r="H71" s="2"/>
      <c r="I71" s="2"/>
      <c r="J71" s="19">
        <f t="shared" si="18"/>
        <v>0</v>
      </c>
      <c r="K71" s="2"/>
      <c r="L71" s="2">
        <f t="shared" si="19"/>
        <v>10438.36</v>
      </c>
      <c r="M71" s="2"/>
      <c r="N71" s="19">
        <f t="shared" si="20"/>
        <v>0</v>
      </c>
      <c r="O71" s="11"/>
      <c r="P71" s="2">
        <v>42381.25</v>
      </c>
      <c r="Q71" s="2"/>
      <c r="R71" s="19">
        <f t="shared" si="21"/>
        <v>1.888185210411563E-2</v>
      </c>
      <c r="S71" s="2"/>
      <c r="T71" s="2"/>
      <c r="U71" s="2"/>
      <c r="V71" s="19">
        <f t="shared" si="22"/>
        <v>0</v>
      </c>
      <c r="W71" s="2"/>
      <c r="X71" s="2">
        <f t="shared" si="23"/>
        <v>42381.25</v>
      </c>
      <c r="Y71" s="2"/>
      <c r="Z71" s="19">
        <f t="shared" si="24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7"/>
        <v>0</v>
      </c>
      <c r="G72" s="2"/>
      <c r="H72" s="2"/>
      <c r="I72" s="2"/>
      <c r="J72" s="19">
        <f t="shared" si="18"/>
        <v>0</v>
      </c>
      <c r="K72" s="2"/>
      <c r="L72" s="2">
        <f t="shared" si="19"/>
        <v>0</v>
      </c>
      <c r="M72" s="2"/>
      <c r="N72" s="19">
        <f t="shared" si="20"/>
        <v>0</v>
      </c>
      <c r="O72" s="11"/>
      <c r="P72" s="2"/>
      <c r="Q72" s="2"/>
      <c r="R72" s="19">
        <f t="shared" si="21"/>
        <v>0</v>
      </c>
      <c r="S72" s="2"/>
      <c r="T72" s="2">
        <v>48.14</v>
      </c>
      <c r="U72" s="2"/>
      <c r="V72" s="19">
        <f t="shared" si="22"/>
        <v>4.0426165006454886E-5</v>
      </c>
      <c r="W72" s="2"/>
      <c r="X72" s="2">
        <f t="shared" si="23"/>
        <v>-48.14</v>
      </c>
      <c r="Y72" s="2"/>
      <c r="Z72" s="19">
        <f t="shared" si="24"/>
        <v>-1</v>
      </c>
    </row>
    <row r="73" spans="1:26" s="24" customFormat="1" hidden="1" outlineLevel="1" x14ac:dyDescent="0.3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17"/>
        <v>0</v>
      </c>
      <c r="G73" s="2"/>
      <c r="H73" s="2"/>
      <c r="I73" s="2"/>
      <c r="J73" s="19">
        <f t="shared" si="18"/>
        <v>0</v>
      </c>
      <c r="K73" s="2"/>
      <c r="L73" s="2">
        <f t="shared" si="19"/>
        <v>0</v>
      </c>
      <c r="M73" s="2"/>
      <c r="N73" s="19">
        <f t="shared" si="20"/>
        <v>0</v>
      </c>
      <c r="O73" s="11"/>
      <c r="P73" s="2"/>
      <c r="Q73" s="2"/>
      <c r="R73" s="19">
        <f t="shared" si="21"/>
        <v>0</v>
      </c>
      <c r="S73" s="2"/>
      <c r="T73" s="2">
        <v>0</v>
      </c>
      <c r="U73" s="2"/>
      <c r="V73" s="19">
        <f t="shared" si="22"/>
        <v>0</v>
      </c>
      <c r="W73" s="2"/>
      <c r="X73" s="2">
        <f t="shared" si="23"/>
        <v>0</v>
      </c>
      <c r="Y73" s="2"/>
      <c r="Z73" s="19">
        <f t="shared" si="24"/>
        <v>0</v>
      </c>
    </row>
    <row r="74" spans="1:26" s="24" customFormat="1" hidden="1" outlineLevel="1" x14ac:dyDescent="0.3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/>
      <c r="E74" s="2"/>
      <c r="F74" s="19">
        <f t="shared" si="17"/>
        <v>0</v>
      </c>
      <c r="G74" s="2"/>
      <c r="H74" s="2"/>
      <c r="I74" s="2"/>
      <c r="J74" s="19">
        <f t="shared" si="18"/>
        <v>0</v>
      </c>
      <c r="K74" s="2"/>
      <c r="L74" s="2">
        <f t="shared" si="19"/>
        <v>0</v>
      </c>
      <c r="M74" s="2"/>
      <c r="N74" s="19">
        <f t="shared" si="20"/>
        <v>0</v>
      </c>
      <c r="O74" s="11"/>
      <c r="P74" s="2">
        <v>0</v>
      </c>
      <c r="Q74" s="2"/>
      <c r="R74" s="19">
        <f t="shared" si="21"/>
        <v>0</v>
      </c>
      <c r="S74" s="2"/>
      <c r="T74" s="2">
        <v>177.5</v>
      </c>
      <c r="U74" s="2"/>
      <c r="V74" s="19">
        <f t="shared" si="22"/>
        <v>1.4905783732126595E-4</v>
      </c>
      <c r="W74" s="2"/>
      <c r="X74" s="2">
        <f t="shared" si="23"/>
        <v>-177.5</v>
      </c>
      <c r="Y74" s="2"/>
      <c r="Z74" s="19">
        <f t="shared" si="24"/>
        <v>-1</v>
      </c>
    </row>
    <row r="75" spans="1:26" s="24" customFormat="1" hidden="1" outlineLevel="1" x14ac:dyDescent="0.3">
      <c r="A75" s="44"/>
      <c r="B75" s="11" t="str">
        <f>CONCATENATE("          ", "5528", " - ", "FREIGHT-IN-ART/TECH")</f>
        <v xml:space="preserve">          5528 - FREIGHT-IN-ART/TECH</v>
      </c>
      <c r="C75" s="11"/>
      <c r="D75" s="2"/>
      <c r="E75" s="2"/>
      <c r="F75" s="19">
        <f t="shared" si="17"/>
        <v>0</v>
      </c>
      <c r="G75" s="2"/>
      <c r="H75" s="2">
        <v>30.01</v>
      </c>
      <c r="I75" s="2"/>
      <c r="J75" s="19">
        <f t="shared" si="18"/>
        <v>1.8722037816145713E-4</v>
      </c>
      <c r="K75" s="2"/>
      <c r="L75" s="2">
        <f t="shared" si="19"/>
        <v>-30.01</v>
      </c>
      <c r="M75" s="2"/>
      <c r="N75" s="19">
        <f t="shared" si="20"/>
        <v>-1</v>
      </c>
      <c r="O75" s="11"/>
      <c r="P75" s="2"/>
      <c r="Q75" s="2"/>
      <c r="R75" s="19">
        <f t="shared" si="21"/>
        <v>0</v>
      </c>
      <c r="S75" s="2"/>
      <c r="T75" s="2">
        <v>33.950000000000003</v>
      </c>
      <c r="U75" s="2"/>
      <c r="V75" s="19">
        <f t="shared" si="22"/>
        <v>2.850993564539143E-5</v>
      </c>
      <c r="W75" s="2"/>
      <c r="X75" s="2">
        <f t="shared" si="23"/>
        <v>-33.950000000000003</v>
      </c>
      <c r="Y75" s="2"/>
      <c r="Z75" s="19">
        <f t="shared" si="24"/>
        <v>-1</v>
      </c>
    </row>
    <row r="76" spans="1:26" s="24" customFormat="1" hidden="1" outlineLevel="1" x14ac:dyDescent="0.3">
      <c r="A76" s="44"/>
      <c r="B76" s="11" t="str">
        <f>CONCATENATE("          ", "5540", " - ", "FREIGHT-IN-LOGO CLOTHING")</f>
        <v xml:space="preserve">          5540 - FREIGHT-IN-LOGO CLOTHING</v>
      </c>
      <c r="C76" s="11"/>
      <c r="D76" s="2"/>
      <c r="E76" s="2"/>
      <c r="F76" s="19">
        <f t="shared" si="17"/>
        <v>0</v>
      </c>
      <c r="G76" s="2"/>
      <c r="H76" s="2">
        <v>347.67</v>
      </c>
      <c r="I76" s="2"/>
      <c r="J76" s="19">
        <f t="shared" si="18"/>
        <v>2.168973971189397E-3</v>
      </c>
      <c r="K76" s="2"/>
      <c r="L76" s="2">
        <f t="shared" si="19"/>
        <v>-347.67</v>
      </c>
      <c r="M76" s="2"/>
      <c r="N76" s="19">
        <f t="shared" si="20"/>
        <v>-1</v>
      </c>
      <c r="O76" s="11"/>
      <c r="P76" s="2">
        <v>0</v>
      </c>
      <c r="Q76" s="2"/>
      <c r="R76" s="19">
        <f t="shared" si="21"/>
        <v>0</v>
      </c>
      <c r="S76" s="2"/>
      <c r="T76" s="2">
        <v>5790.63</v>
      </c>
      <c r="U76" s="2"/>
      <c r="V76" s="19">
        <f t="shared" si="22"/>
        <v>4.8627537156486888E-3</v>
      </c>
      <c r="W76" s="2"/>
      <c r="X76" s="2">
        <f t="shared" si="23"/>
        <v>-5790.63</v>
      </c>
      <c r="Y76" s="2"/>
      <c r="Z76" s="19">
        <f t="shared" si="24"/>
        <v>-1</v>
      </c>
    </row>
    <row r="77" spans="1:26" s="24" customFormat="1" hidden="1" outlineLevel="1" x14ac:dyDescent="0.3">
      <c r="A77" s="44"/>
      <c r="B77" s="11" t="str">
        <f>CONCATENATE("          ", "5541", " - ", "FREIGHT-IN-LOGO GIFTS")</f>
        <v xml:space="preserve">          5541 - FREIGHT-IN-LOGO GIFTS</v>
      </c>
      <c r="C77" s="11"/>
      <c r="D77" s="2"/>
      <c r="E77" s="2"/>
      <c r="F77" s="19">
        <f t="shared" si="17"/>
        <v>0</v>
      </c>
      <c r="G77" s="2"/>
      <c r="H77" s="2">
        <v>182.93</v>
      </c>
      <c r="I77" s="2"/>
      <c r="J77" s="19">
        <f t="shared" si="18"/>
        <v>1.1412270502191054E-3</v>
      </c>
      <c r="K77" s="2"/>
      <c r="L77" s="2">
        <f t="shared" si="19"/>
        <v>-182.93</v>
      </c>
      <c r="M77" s="2"/>
      <c r="N77" s="19">
        <f t="shared" si="20"/>
        <v>-1</v>
      </c>
      <c r="O77" s="11"/>
      <c r="P77" s="2">
        <v>0</v>
      </c>
      <c r="Q77" s="2"/>
      <c r="R77" s="19">
        <f t="shared" si="21"/>
        <v>0</v>
      </c>
      <c r="S77" s="2"/>
      <c r="T77" s="2">
        <v>1702.87</v>
      </c>
      <c r="U77" s="2"/>
      <c r="V77" s="19">
        <f t="shared" si="22"/>
        <v>1.4300063067000796E-3</v>
      </c>
      <c r="W77" s="2"/>
      <c r="X77" s="2">
        <f t="shared" si="23"/>
        <v>-1702.87</v>
      </c>
      <c r="Y77" s="2"/>
      <c r="Z77" s="19">
        <f t="shared" si="24"/>
        <v>-1</v>
      </c>
    </row>
    <row r="78" spans="1:26" s="24" customFormat="1" hidden="1" outlineLevel="1" x14ac:dyDescent="0.3">
      <c r="A78" s="44"/>
      <c r="B78" s="11" t="str">
        <f>CONCATENATE("          ", "5542", " - ", "FREIGHT-IN-EVERYDAY GIFTS")</f>
        <v xml:space="preserve">          5542 - FREIGHT-IN-EVERYDAY GIFTS</v>
      </c>
      <c r="C78" s="11"/>
      <c r="D78" s="2"/>
      <c r="E78" s="2"/>
      <c r="F78" s="19">
        <f t="shared" si="17"/>
        <v>0</v>
      </c>
      <c r="G78" s="2"/>
      <c r="H78" s="2">
        <v>187.38</v>
      </c>
      <c r="I78" s="2"/>
      <c r="J78" s="19">
        <f t="shared" si="18"/>
        <v>1.1689888190567757E-3</v>
      </c>
      <c r="K78" s="2"/>
      <c r="L78" s="2">
        <f t="shared" si="19"/>
        <v>-187.38</v>
      </c>
      <c r="M78" s="2"/>
      <c r="N78" s="19">
        <f t="shared" si="20"/>
        <v>-1</v>
      </c>
      <c r="O78" s="11"/>
      <c r="P78" s="2">
        <v>0</v>
      </c>
      <c r="Q78" s="2"/>
      <c r="R78" s="19">
        <f t="shared" si="21"/>
        <v>0</v>
      </c>
      <c r="S78" s="2"/>
      <c r="T78" s="2">
        <v>383.93</v>
      </c>
      <c r="U78" s="2"/>
      <c r="V78" s="19">
        <f t="shared" si="22"/>
        <v>3.2241000271973879E-4</v>
      </c>
      <c r="W78" s="2"/>
      <c r="X78" s="2">
        <f t="shared" si="23"/>
        <v>-383.93</v>
      </c>
      <c r="Y78" s="2"/>
      <c r="Z78" s="19">
        <f t="shared" si="24"/>
        <v>-1</v>
      </c>
    </row>
    <row r="79" spans="1:26" s="24" customFormat="1" hidden="1" outlineLevel="1" x14ac:dyDescent="0.3">
      <c r="A79" s="44"/>
      <c r="B79" s="11" t="str">
        <f>CONCATENATE("          ", "5543", " - ", "FREIGHT-IN-CARDS")</f>
        <v xml:space="preserve">          5543 - FREIGHT-IN-CARDS</v>
      </c>
      <c r="C79" s="11"/>
      <c r="D79" s="2"/>
      <c r="E79" s="2"/>
      <c r="F79" s="19">
        <f t="shared" si="17"/>
        <v>0</v>
      </c>
      <c r="G79" s="2"/>
      <c r="H79" s="2">
        <v>1992.81</v>
      </c>
      <c r="I79" s="2"/>
      <c r="J79" s="19">
        <f t="shared" si="18"/>
        <v>1.2432343945482618E-2</v>
      </c>
      <c r="K79" s="2"/>
      <c r="L79" s="2">
        <f t="shared" si="19"/>
        <v>-1992.81</v>
      </c>
      <c r="M79" s="2"/>
      <c r="N79" s="19">
        <f t="shared" si="20"/>
        <v>-1</v>
      </c>
      <c r="O79" s="11"/>
      <c r="P79" s="2"/>
      <c r="Q79" s="2"/>
      <c r="R79" s="19">
        <f t="shared" si="21"/>
        <v>0</v>
      </c>
      <c r="S79" s="2"/>
      <c r="T79" s="2">
        <v>9110.5300000000007</v>
      </c>
      <c r="U79" s="2"/>
      <c r="V79" s="19">
        <f t="shared" si="22"/>
        <v>7.6506811191578202E-3</v>
      </c>
      <c r="W79" s="2"/>
      <c r="X79" s="2">
        <f t="shared" si="23"/>
        <v>-9110.5300000000007</v>
      </c>
      <c r="Y79" s="2"/>
      <c r="Z79" s="19">
        <f t="shared" si="24"/>
        <v>-1</v>
      </c>
    </row>
    <row r="80" spans="1:26" s="24" customFormat="1" hidden="1" outlineLevel="1" x14ac:dyDescent="0.3">
      <c r="A80" s="44"/>
      <c r="B80" s="11" t="str">
        <f>CONCATENATE("          ", "5544", " - ", "FREIGHT-IN-ACCESSORIES")</f>
        <v xml:space="preserve">          5544 - FREIGHT-IN-ACCESSORIES</v>
      </c>
      <c r="C80" s="11"/>
      <c r="D80" s="2"/>
      <c r="E80" s="2"/>
      <c r="F80" s="19">
        <f t="shared" si="17"/>
        <v>0</v>
      </c>
      <c r="G80" s="2"/>
      <c r="H80" s="2"/>
      <c r="I80" s="2"/>
      <c r="J80" s="19">
        <f t="shared" si="18"/>
        <v>0</v>
      </c>
      <c r="K80" s="2"/>
      <c r="L80" s="2">
        <f t="shared" si="19"/>
        <v>0</v>
      </c>
      <c r="M80" s="2"/>
      <c r="N80" s="19">
        <f t="shared" si="20"/>
        <v>0</v>
      </c>
      <c r="O80" s="11"/>
      <c r="P80" s="2">
        <v>0</v>
      </c>
      <c r="Q80" s="2"/>
      <c r="R80" s="19">
        <f t="shared" si="21"/>
        <v>0</v>
      </c>
      <c r="S80" s="2"/>
      <c r="T80" s="2"/>
      <c r="U80" s="2"/>
      <c r="V80" s="19">
        <f t="shared" si="22"/>
        <v>0</v>
      </c>
      <c r="W80" s="2"/>
      <c r="X80" s="2">
        <f t="shared" si="23"/>
        <v>0</v>
      </c>
      <c r="Y80" s="2"/>
      <c r="Z80" s="19">
        <f t="shared" si="24"/>
        <v>0</v>
      </c>
    </row>
    <row r="81" spans="1:26" s="24" customFormat="1" hidden="1" outlineLevel="1" x14ac:dyDescent="0.3">
      <c r="A81" s="44"/>
      <c r="B81" s="11" t="str">
        <f>CONCATENATE("          ", "5545", " - ", "FREIGHT-IN-SPECIAL ORDERS")</f>
        <v xml:space="preserve">          5545 - FREIGHT-IN-SPECIAL ORDERS</v>
      </c>
      <c r="C81" s="11"/>
      <c r="D81" s="2"/>
      <c r="E81" s="2"/>
      <c r="F81" s="19">
        <f t="shared" si="17"/>
        <v>0</v>
      </c>
      <c r="G81" s="2"/>
      <c r="H81" s="2"/>
      <c r="I81" s="2"/>
      <c r="J81" s="19">
        <f t="shared" si="18"/>
        <v>0</v>
      </c>
      <c r="K81" s="2"/>
      <c r="L81" s="2">
        <f t="shared" si="19"/>
        <v>0</v>
      </c>
      <c r="M81" s="2"/>
      <c r="N81" s="19">
        <f t="shared" si="20"/>
        <v>0</v>
      </c>
      <c r="O81" s="11"/>
      <c r="P81" s="2">
        <v>0</v>
      </c>
      <c r="Q81" s="2"/>
      <c r="R81" s="19">
        <f t="shared" si="21"/>
        <v>0</v>
      </c>
      <c r="S81" s="2"/>
      <c r="T81" s="2">
        <v>1113.79</v>
      </c>
      <c r="U81" s="2"/>
      <c r="V81" s="19">
        <f t="shared" si="22"/>
        <v>9.3531903453550867E-4</v>
      </c>
      <c r="W81" s="2"/>
      <c r="X81" s="2">
        <f t="shared" si="23"/>
        <v>-1113.79</v>
      </c>
      <c r="Y81" s="2"/>
      <c r="Z81" s="19">
        <f t="shared" si="24"/>
        <v>-1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5" t="s">
        <v>107</v>
      </c>
      <c r="C83" s="25"/>
      <c r="D83" s="21">
        <f>D12-D56</f>
        <v>93478.760000000024</v>
      </c>
      <c r="E83" s="13"/>
      <c r="F83" s="22">
        <f>IF(D$12=0,0,D83/D$12)</f>
        <v>0.5313831744165054</v>
      </c>
      <c r="G83" s="13"/>
      <c r="H83" s="21">
        <f>H12-H56</f>
        <v>75589.380000000077</v>
      </c>
      <c r="I83" s="13"/>
      <c r="J83" s="22">
        <f>IF(H$12=0,0,H83/H$12)</f>
        <v>0.47157188632422858</v>
      </c>
      <c r="K83" s="15"/>
      <c r="L83" s="21">
        <f>+D83-H83</f>
        <v>17889.379999999946</v>
      </c>
      <c r="M83" s="15"/>
      <c r="N83" s="22">
        <f>IF(H83=0,0,L83/H83)</f>
        <v>0.23666525641564898</v>
      </c>
      <c r="O83" s="26"/>
      <c r="P83" s="21">
        <f>P12-P56</f>
        <v>1144661.4000000001</v>
      </c>
      <c r="Q83" s="13"/>
      <c r="R83" s="22">
        <f>IF(P$12=0,0,P83/P$12)</f>
        <v>0.50997380360631051</v>
      </c>
      <c r="S83" s="13"/>
      <c r="T83" s="21">
        <f>T12-T56</f>
        <v>507902.38999999955</v>
      </c>
      <c r="U83" s="13"/>
      <c r="V83" s="22">
        <f>IF(T$12=0,0,T83/T$12)</f>
        <v>0.42651736238705407</v>
      </c>
      <c r="W83" s="15"/>
      <c r="X83" s="21">
        <f>+P83-T83</f>
        <v>636759.01000000059</v>
      </c>
      <c r="Y83" s="15"/>
      <c r="Z83" s="22">
        <f>IF(T83=0,0,X83/T83)</f>
        <v>1.2537035118106084</v>
      </c>
    </row>
    <row r="84" spans="1:26" x14ac:dyDescent="0.3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6" t="s">
        <v>294</v>
      </c>
      <c r="C85" s="10"/>
      <c r="D85" s="20">
        <f>SUM(OSRRefD22x_0)</f>
        <v>128596.20999999999</v>
      </c>
      <c r="E85" s="20"/>
      <c r="F85" s="30">
        <f t="shared" ref="F85:F94" si="25">IF(D$12=0,0,D85/D$12)</f>
        <v>0.73100950726915437</v>
      </c>
      <c r="G85" s="20"/>
      <c r="H85" s="20">
        <f>SUM(OSRRefH22x_0)</f>
        <v>78964.529999999984</v>
      </c>
      <c r="I85" s="20"/>
      <c r="J85" s="30">
        <f t="shared" ref="J85:J94" si="26">IF(H$12=0,0,H85/H$12)</f>
        <v>0.49262809623264658</v>
      </c>
      <c r="K85" s="4"/>
      <c r="L85" s="20">
        <f t="shared" ref="L85:L94" si="27">+D85-H85</f>
        <v>49631.680000000008</v>
      </c>
      <c r="M85" s="4"/>
      <c r="N85" s="30">
        <f t="shared" ref="N85:N94" si="28">IF(H85=0,0,L85/H85)</f>
        <v>0.62853131652907979</v>
      </c>
      <c r="O85" s="10"/>
      <c r="P85" s="20">
        <f>SUM(OSRRefP22x_0)</f>
        <v>683868.97000000032</v>
      </c>
      <c r="Q85" s="20"/>
      <c r="R85" s="30">
        <f t="shared" ref="R85:R94" si="29">IF(P$12=0,0,P85/P$12)</f>
        <v>0.30467984663344982</v>
      </c>
      <c r="S85" s="20"/>
      <c r="T85" s="20">
        <f>SUM(OSRRefT22x_0)</f>
        <v>484644.47</v>
      </c>
      <c r="U85" s="20"/>
      <c r="V85" s="30">
        <f t="shared" ref="V85:V94" si="30">IF(T$12=0,0,T85/T$12)</f>
        <v>0.40698623418541491</v>
      </c>
      <c r="W85" s="4"/>
      <c r="X85" s="20">
        <f t="shared" ref="X85:X94" si="31">+P85-T85</f>
        <v>199224.50000000035</v>
      </c>
      <c r="Y85" s="4"/>
      <c r="Z85" s="30">
        <f t="shared" ref="Z85:Z94" si="32">IF(T85=0,0,X85/T85)</f>
        <v>0.41107350301552054</v>
      </c>
    </row>
    <row r="86" spans="1:26" s="29" customFormat="1" outlineLevel="1" collapsed="1" x14ac:dyDescent="0.3">
      <c r="A86" s="28"/>
      <c r="B86" s="14" t="str">
        <f>CONCATENATE("     ","*Benefits                                         ")</f>
        <v xml:space="preserve">     *Benefits                                         </v>
      </c>
      <c r="C86" s="14"/>
      <c r="D86" s="1">
        <f>SUM(OSRRefD22_0x_0)</f>
        <v>18873.93</v>
      </c>
      <c r="E86" s="1"/>
      <c r="F86" s="5">
        <f t="shared" si="25"/>
        <v>0.10728949375360683</v>
      </c>
      <c r="G86" s="1"/>
      <c r="H86" s="1">
        <f>SUM(OSRRefH22_0x_0)</f>
        <v>14402.33</v>
      </c>
      <c r="I86" s="1"/>
      <c r="J86" s="5">
        <f t="shared" si="26"/>
        <v>8.9850372176144583E-2</v>
      </c>
      <c r="K86" s="1"/>
      <c r="L86" s="1">
        <f t="shared" si="27"/>
        <v>4471.6000000000004</v>
      </c>
      <c r="M86" s="1"/>
      <c r="N86" s="5">
        <f t="shared" si="28"/>
        <v>0.31047754078680329</v>
      </c>
      <c r="O86" s="14"/>
      <c r="P86" s="1">
        <f>SUM(OSRRefP22_0x_0)</f>
        <v>104944.10999999999</v>
      </c>
      <c r="Q86" s="1"/>
      <c r="R86" s="5">
        <f t="shared" si="29"/>
        <v>4.6755090145242102E-2</v>
      </c>
      <c r="S86" s="1"/>
      <c r="T86" s="1">
        <f>SUM(OSRRefT22_0x_0)</f>
        <v>107382.87999999999</v>
      </c>
      <c r="U86" s="1"/>
      <c r="V86" s="5">
        <f t="shared" si="30"/>
        <v>9.0176111876783219E-2</v>
      </c>
      <c r="W86" s="1"/>
      <c r="X86" s="1">
        <f t="shared" si="31"/>
        <v>-2438.7700000000041</v>
      </c>
      <c r="Y86" s="1"/>
      <c r="Z86" s="5">
        <f t="shared" si="32"/>
        <v>-2.2710975902304021E-2</v>
      </c>
    </row>
    <row r="87" spans="1:26" s="24" customFormat="1" hidden="1" outlineLevel="2" x14ac:dyDescent="0.3">
      <c r="A87" s="27"/>
      <c r="B87" s="11" t="str">
        <f>CONCATENATE("          ", "6111", " - ", "F.I.C.A.")</f>
        <v xml:space="preserve">          6111 - F.I.C.A.</v>
      </c>
      <c r="C87" s="11"/>
      <c r="D87" s="7">
        <v>2306.6999999999998</v>
      </c>
      <c r="E87" s="2"/>
      <c r="F87" s="6">
        <f t="shared" si="25"/>
        <v>1.3112514205650062E-2</v>
      </c>
      <c r="G87" s="2"/>
      <c r="H87" s="7">
        <v>2448.2600000000002</v>
      </c>
      <c r="I87" s="2"/>
      <c r="J87" s="6">
        <f t="shared" si="26"/>
        <v>1.5273714196520129E-2</v>
      </c>
      <c r="K87" s="2"/>
      <c r="L87" s="7">
        <f t="shared" si="27"/>
        <v>-141.5600000000004</v>
      </c>
      <c r="M87" s="2"/>
      <c r="N87" s="6">
        <f t="shared" si="28"/>
        <v>-5.7820656302843811E-2</v>
      </c>
      <c r="O87" s="11"/>
      <c r="P87" s="7">
        <v>19564.03</v>
      </c>
      <c r="Q87" s="2"/>
      <c r="R87" s="6">
        <f t="shared" si="29"/>
        <v>8.7162393988020944E-3</v>
      </c>
      <c r="S87" s="2"/>
      <c r="T87" s="7">
        <v>21295.96</v>
      </c>
      <c r="U87" s="2"/>
      <c r="V87" s="6">
        <f t="shared" si="30"/>
        <v>1.7883547838198233E-2</v>
      </c>
      <c r="W87" s="2"/>
      <c r="X87" s="7">
        <f t="shared" si="31"/>
        <v>-1731.9300000000003</v>
      </c>
      <c r="Y87" s="2"/>
      <c r="Z87" s="6">
        <f t="shared" si="32"/>
        <v>-8.1326692950212165E-2</v>
      </c>
    </row>
    <row r="88" spans="1:26" s="24" customFormat="1" hidden="1" outlineLevel="2" x14ac:dyDescent="0.3">
      <c r="A88" s="27"/>
      <c r="B88" s="11" t="str">
        <f>CONCATENATE("          ", "6112", " - ", "COMPENSATION INSURANCE")</f>
        <v xml:space="preserve">          6112 - COMPENSATION INSURANCE</v>
      </c>
      <c r="C88" s="11"/>
      <c r="D88" s="7">
        <v>851.69</v>
      </c>
      <c r="E88" s="2"/>
      <c r="F88" s="6">
        <f t="shared" si="25"/>
        <v>4.8414606250531504E-3</v>
      </c>
      <c r="G88" s="2"/>
      <c r="H88" s="7">
        <v>265.27</v>
      </c>
      <c r="I88" s="2"/>
      <c r="J88" s="6">
        <f t="shared" si="26"/>
        <v>1.654913352712087E-3</v>
      </c>
      <c r="K88" s="2"/>
      <c r="L88" s="7">
        <f t="shared" si="27"/>
        <v>586.42000000000007</v>
      </c>
      <c r="M88" s="2"/>
      <c r="N88" s="6">
        <f t="shared" si="28"/>
        <v>2.2106532966411585</v>
      </c>
      <c r="O88" s="11"/>
      <c r="P88" s="7">
        <v>6332.57</v>
      </c>
      <c r="Q88" s="2"/>
      <c r="R88" s="6">
        <f t="shared" si="29"/>
        <v>2.821310135471689E-3</v>
      </c>
      <c r="S88" s="2"/>
      <c r="T88" s="7">
        <v>7740.05</v>
      </c>
      <c r="U88" s="2"/>
      <c r="V88" s="6">
        <f t="shared" si="30"/>
        <v>6.4998034577941656E-3</v>
      </c>
      <c r="W88" s="2"/>
      <c r="X88" s="7">
        <f t="shared" si="31"/>
        <v>-1407.4800000000005</v>
      </c>
      <c r="Y88" s="2"/>
      <c r="Z88" s="6">
        <f t="shared" si="32"/>
        <v>-0.1818437865388467</v>
      </c>
    </row>
    <row r="89" spans="1:26" s="24" customFormat="1" hidden="1" outlineLevel="2" x14ac:dyDescent="0.3">
      <c r="A89" s="27"/>
      <c r="B89" s="11" t="str">
        <f>CONCATENATE("          ", "6113", " - ", "GROUP INSURANCE")</f>
        <v xml:space="preserve">          6113 - GROUP INSURANCE</v>
      </c>
      <c r="C89" s="11"/>
      <c r="D89" s="7">
        <v>4432.75</v>
      </c>
      <c r="E89" s="2"/>
      <c r="F89" s="6">
        <f t="shared" si="25"/>
        <v>2.5198117373345173E-2</v>
      </c>
      <c r="G89" s="2"/>
      <c r="H89" s="7">
        <v>5528.62</v>
      </c>
      <c r="I89" s="2"/>
      <c r="J89" s="6">
        <f t="shared" si="26"/>
        <v>3.4490847287937193E-2</v>
      </c>
      <c r="K89" s="2"/>
      <c r="L89" s="7">
        <f t="shared" si="27"/>
        <v>-1095.8699999999999</v>
      </c>
      <c r="M89" s="2"/>
      <c r="N89" s="6">
        <f t="shared" si="28"/>
        <v>-0.19821763839800888</v>
      </c>
      <c r="O89" s="11"/>
      <c r="P89" s="7">
        <v>33333.279999999999</v>
      </c>
      <c r="Q89" s="2"/>
      <c r="R89" s="6">
        <f t="shared" si="29"/>
        <v>1.4850766862824372E-2</v>
      </c>
      <c r="S89" s="2"/>
      <c r="T89" s="7">
        <v>38945.040000000001</v>
      </c>
      <c r="U89" s="2"/>
      <c r="V89" s="6">
        <f t="shared" si="30"/>
        <v>3.2704582742479969E-2</v>
      </c>
      <c r="W89" s="2"/>
      <c r="X89" s="7">
        <f t="shared" si="31"/>
        <v>-5611.760000000002</v>
      </c>
      <c r="Y89" s="2"/>
      <c r="Z89" s="6">
        <f t="shared" si="32"/>
        <v>-0.14409434423484999</v>
      </c>
    </row>
    <row r="90" spans="1:26" s="24" customFormat="1" hidden="1" outlineLevel="2" x14ac:dyDescent="0.3">
      <c r="A90" s="27"/>
      <c r="B90" s="11" t="str">
        <f>CONCATENATE("          ", "6114", " - ", "STATE UNEMPLOYMENT INSURANCE")</f>
        <v xml:space="preserve">          6114 - STATE UNEMPLOYMENT INSURANCE</v>
      </c>
      <c r="C90" s="11"/>
      <c r="D90" s="7">
        <v>149.72999999999999</v>
      </c>
      <c r="E90" s="2"/>
      <c r="F90" s="6">
        <f t="shared" si="25"/>
        <v>8.5114525166340819E-4</v>
      </c>
      <c r="G90" s="2"/>
      <c r="H90" s="7">
        <v>211.03</v>
      </c>
      <c r="I90" s="2"/>
      <c r="J90" s="6">
        <f t="shared" si="26"/>
        <v>1.3165317028794501E-3</v>
      </c>
      <c r="K90" s="2"/>
      <c r="L90" s="7">
        <f t="shared" si="27"/>
        <v>-61.300000000000011</v>
      </c>
      <c r="M90" s="2"/>
      <c r="N90" s="6">
        <f t="shared" si="28"/>
        <v>-0.29048002653651145</v>
      </c>
      <c r="O90" s="11"/>
      <c r="P90" s="7">
        <v>1112.58</v>
      </c>
      <c r="Q90" s="2"/>
      <c r="R90" s="6">
        <f t="shared" si="29"/>
        <v>4.9568077897648051E-4</v>
      </c>
      <c r="S90" s="2"/>
      <c r="T90" s="7">
        <v>887.68</v>
      </c>
      <c r="U90" s="2"/>
      <c r="V90" s="6">
        <f t="shared" si="30"/>
        <v>7.4544034384981038E-4</v>
      </c>
      <c r="W90" s="2"/>
      <c r="X90" s="7">
        <f t="shared" si="31"/>
        <v>224.89999999999998</v>
      </c>
      <c r="Y90" s="2"/>
      <c r="Z90" s="6">
        <f t="shared" si="32"/>
        <v>0.25335706560922855</v>
      </c>
    </row>
    <row r="91" spans="1:26" s="24" customFormat="1" hidden="1" outlineLevel="2" x14ac:dyDescent="0.3">
      <c r="A91" s="27"/>
      <c r="B91" s="11" t="str">
        <f>CONCATENATE("          ", "6115", " - ", "P.E.R.S.")</f>
        <v xml:space="preserve">          6115 - P.E.R.S.</v>
      </c>
      <c r="C91" s="11"/>
      <c r="D91" s="7">
        <v>1642.66</v>
      </c>
      <c r="E91" s="2"/>
      <c r="F91" s="6">
        <f t="shared" si="25"/>
        <v>9.3377563554225222E-3</v>
      </c>
      <c r="G91" s="2"/>
      <c r="H91" s="7">
        <v>2835.08</v>
      </c>
      <c r="I91" s="2"/>
      <c r="J91" s="6">
        <f t="shared" si="26"/>
        <v>1.7686929347483636E-2</v>
      </c>
      <c r="K91" s="2"/>
      <c r="L91" s="7">
        <f t="shared" si="27"/>
        <v>-1192.4199999999998</v>
      </c>
      <c r="M91" s="2"/>
      <c r="N91" s="6">
        <f t="shared" si="28"/>
        <v>-0.42059483330276393</v>
      </c>
      <c r="O91" s="11"/>
      <c r="P91" s="7">
        <v>12035.65</v>
      </c>
      <c r="Q91" s="2"/>
      <c r="R91" s="6">
        <f t="shared" si="29"/>
        <v>5.3621675452446369E-3</v>
      </c>
      <c r="S91" s="2"/>
      <c r="T91" s="7">
        <v>14395.2</v>
      </c>
      <c r="U91" s="2"/>
      <c r="V91" s="6">
        <f t="shared" si="30"/>
        <v>1.2088548618631479E-2</v>
      </c>
      <c r="W91" s="2"/>
      <c r="X91" s="7">
        <f t="shared" si="31"/>
        <v>-2359.5500000000011</v>
      </c>
      <c r="Y91" s="2"/>
      <c r="Z91" s="6">
        <f t="shared" si="32"/>
        <v>-0.16391227631432706</v>
      </c>
    </row>
    <row r="92" spans="1:26" s="24" customFormat="1" hidden="1" outlineLevel="2" x14ac:dyDescent="0.3">
      <c r="A92" s="27"/>
      <c r="B92" s="11" t="str">
        <f>CONCATENATE("          ", "6118", " - ", "VACATION")</f>
        <v xml:space="preserve">          6118 - VACATION</v>
      </c>
      <c r="C92" s="11"/>
      <c r="D92" s="7">
        <v>3374.6</v>
      </c>
      <c r="E92" s="2"/>
      <c r="F92" s="6">
        <f t="shared" si="25"/>
        <v>1.9183027891961111E-2</v>
      </c>
      <c r="G92" s="2"/>
      <c r="H92" s="7">
        <v>1729.43</v>
      </c>
      <c r="I92" s="2"/>
      <c r="J92" s="6">
        <f t="shared" si="26"/>
        <v>1.0789221546276869E-2</v>
      </c>
      <c r="K92" s="2"/>
      <c r="L92" s="7">
        <f t="shared" si="27"/>
        <v>1645.1699999999998</v>
      </c>
      <c r="M92" s="2"/>
      <c r="N92" s="6">
        <f t="shared" si="28"/>
        <v>0.9512787450200354</v>
      </c>
      <c r="O92" s="11"/>
      <c r="P92" s="7">
        <v>14505.29</v>
      </c>
      <c r="Q92" s="2"/>
      <c r="R92" s="6">
        <f t="shared" si="29"/>
        <v>6.4624507419509198E-3</v>
      </c>
      <c r="S92" s="2"/>
      <c r="T92" s="7">
        <v>11996.23</v>
      </c>
      <c r="U92" s="2"/>
      <c r="V92" s="6">
        <f t="shared" si="30"/>
        <v>1.0073983660892901E-2</v>
      </c>
      <c r="W92" s="2"/>
      <c r="X92" s="7">
        <f t="shared" si="31"/>
        <v>2509.0600000000013</v>
      </c>
      <c r="Y92" s="2"/>
      <c r="Z92" s="6">
        <f t="shared" si="32"/>
        <v>0.20915404256170492</v>
      </c>
    </row>
    <row r="93" spans="1:26" s="24" customFormat="1" hidden="1" outlineLevel="2" x14ac:dyDescent="0.3">
      <c r="A93" s="27"/>
      <c r="B93" s="11" t="str">
        <f>CONCATENATE("          ", "6119", " - ", "SICK LEAVE")</f>
        <v xml:space="preserve">          6119 - SICK LEAVE</v>
      </c>
      <c r="C93" s="11"/>
      <c r="D93" s="7">
        <v>5294.1</v>
      </c>
      <c r="E93" s="2"/>
      <c r="F93" s="6">
        <f t="shared" si="25"/>
        <v>3.0094490595279837E-2</v>
      </c>
      <c r="G93" s="2"/>
      <c r="H93" s="7">
        <v>1220.93</v>
      </c>
      <c r="I93" s="2"/>
      <c r="J93" s="6">
        <f t="shared" si="26"/>
        <v>7.6168935790958967E-3</v>
      </c>
      <c r="K93" s="2"/>
      <c r="L93" s="7">
        <f t="shared" si="27"/>
        <v>4073.17</v>
      </c>
      <c r="M93" s="2"/>
      <c r="N93" s="6">
        <f t="shared" si="28"/>
        <v>3.3361208259277761</v>
      </c>
      <c r="O93" s="11"/>
      <c r="P93" s="7">
        <v>12666.43</v>
      </c>
      <c r="Q93" s="2"/>
      <c r="R93" s="6">
        <f t="shared" si="29"/>
        <v>5.6431949965405305E-3</v>
      </c>
      <c r="S93" s="2"/>
      <c r="T93" s="7">
        <v>9025.4</v>
      </c>
      <c r="U93" s="2"/>
      <c r="V93" s="6">
        <f t="shared" si="30"/>
        <v>7.5791921406160763E-3</v>
      </c>
      <c r="W93" s="2"/>
      <c r="X93" s="7">
        <f t="shared" si="31"/>
        <v>3641.0300000000007</v>
      </c>
      <c r="Y93" s="2"/>
      <c r="Z93" s="6">
        <f t="shared" si="32"/>
        <v>0.40342034702063073</v>
      </c>
    </row>
    <row r="94" spans="1:26" s="24" customFormat="1" hidden="1" outlineLevel="2" x14ac:dyDescent="0.3">
      <c r="A94" s="27"/>
      <c r="B94" s="11" t="str">
        <f>CONCATENATE("          ", "6156", " - ", "EMPLOYEE MEALS")</f>
        <v xml:space="preserve">          6156 - EMPLOYEE MEALS</v>
      </c>
      <c r="C94" s="11"/>
      <c r="D94" s="7">
        <v>821.7</v>
      </c>
      <c r="E94" s="2"/>
      <c r="F94" s="6">
        <f t="shared" si="25"/>
        <v>4.6709814552315671E-3</v>
      </c>
      <c r="G94" s="2"/>
      <c r="H94" s="7">
        <v>163.71</v>
      </c>
      <c r="I94" s="2"/>
      <c r="J94" s="6">
        <f t="shared" si="26"/>
        <v>1.0213211632393252E-3</v>
      </c>
      <c r="K94" s="2"/>
      <c r="L94" s="7">
        <f t="shared" si="27"/>
        <v>657.99</v>
      </c>
      <c r="M94" s="2"/>
      <c r="N94" s="6">
        <f t="shared" si="28"/>
        <v>4.0192413413963717</v>
      </c>
      <c r="O94" s="11"/>
      <c r="P94" s="7">
        <v>5394.28</v>
      </c>
      <c r="Q94" s="2"/>
      <c r="R94" s="6">
        <f t="shared" si="29"/>
        <v>2.4032796854313843E-3</v>
      </c>
      <c r="S94" s="2"/>
      <c r="T94" s="7">
        <v>3097.32</v>
      </c>
      <c r="U94" s="2"/>
      <c r="V94" s="6">
        <f t="shared" si="30"/>
        <v>2.6010130743205828E-3</v>
      </c>
      <c r="W94" s="2"/>
      <c r="X94" s="7">
        <f t="shared" si="31"/>
        <v>2296.9599999999996</v>
      </c>
      <c r="Y94" s="2"/>
      <c r="Z94" s="6">
        <f t="shared" si="32"/>
        <v>0.74159596037864972</v>
      </c>
    </row>
    <row r="95" spans="1:26" s="29" customFormat="1" outlineLevel="1" collapsed="1" x14ac:dyDescent="0.3">
      <c r="A95" s="28"/>
      <c r="B95" s="14" t="str">
        <f>CONCATENATE("     ","*Payroll                                          ")</f>
        <v xml:space="preserve">     *Payroll                                          </v>
      </c>
      <c r="C95" s="14"/>
      <c r="D95" s="1">
        <f>SUM(OSRRefD22_1x_0)</f>
        <v>73548.78</v>
      </c>
      <c r="E95" s="1"/>
      <c r="F95" s="5">
        <f t="shared" ref="F95:F100" si="33">IF(D$12=0,0,D95/D$12)</f>
        <v>0.41809052870257563</v>
      </c>
      <c r="G95" s="1"/>
      <c r="H95" s="1">
        <f>SUM(OSRRefH22_1x_0)</f>
        <v>45208.939999999995</v>
      </c>
      <c r="I95" s="1"/>
      <c r="J95" s="5">
        <f t="shared" ref="J95:J100" si="34">IF(H$12=0,0,H95/H$12)</f>
        <v>0.282040481275529</v>
      </c>
      <c r="K95" s="1"/>
      <c r="L95" s="1">
        <f t="shared" ref="L95:L100" si="35">+D95-H95</f>
        <v>28339.840000000004</v>
      </c>
      <c r="M95" s="1"/>
      <c r="N95" s="5">
        <f t="shared" ref="N95:N100" si="36">IF(H95=0,0,L95/H95)</f>
        <v>0.62686362476094348</v>
      </c>
      <c r="O95" s="14"/>
      <c r="P95" s="1">
        <f>SUM(OSRRefP22_1x_0)</f>
        <v>437091.96</v>
      </c>
      <c r="Q95" s="1"/>
      <c r="R95" s="5">
        <f t="shared" ref="R95:R100" si="37">IF(P$12=0,0,P95/P$12)</f>
        <v>0.19473483544298542</v>
      </c>
      <c r="S95" s="1"/>
      <c r="T95" s="1">
        <f>SUM(OSRRefT22_1x_0)</f>
        <v>266422.78999999998</v>
      </c>
      <c r="U95" s="1"/>
      <c r="V95" s="5">
        <f t="shared" ref="V95:V100" si="38">IF(T$12=0,0,T95/T$12)</f>
        <v>0.22373185853801575</v>
      </c>
      <c r="W95" s="1"/>
      <c r="X95" s="1">
        <f t="shared" ref="X95:X100" si="39">+P95-T95</f>
        <v>170669.17000000004</v>
      </c>
      <c r="Y95" s="1"/>
      <c r="Z95" s="5">
        <f t="shared" ref="Z95:Z100" si="40">IF(T95=0,0,X95/T95)</f>
        <v>0.64059523586552058</v>
      </c>
    </row>
    <row r="96" spans="1:26" s="24" customFormat="1" hidden="1" outlineLevel="2" x14ac:dyDescent="0.3">
      <c r="A96" s="27"/>
      <c r="B96" s="11" t="str">
        <f>CONCATENATE("          ", "6002", " - ", "STAFF SALARIES")</f>
        <v xml:space="preserve">          6002 - STAFF SALARIES</v>
      </c>
      <c r="C96" s="11"/>
      <c r="D96" s="7">
        <v>18768.439999999999</v>
      </c>
      <c r="E96" s="2"/>
      <c r="F96" s="6">
        <f t="shared" si="33"/>
        <v>0.10668983227896599</v>
      </c>
      <c r="G96" s="2"/>
      <c r="H96" s="7">
        <v>23210.36</v>
      </c>
      <c r="I96" s="2"/>
      <c r="J96" s="6">
        <f t="shared" si="34"/>
        <v>0.14480014583350745</v>
      </c>
      <c r="K96" s="2"/>
      <c r="L96" s="7">
        <f t="shared" si="35"/>
        <v>-4441.9200000000019</v>
      </c>
      <c r="M96" s="2"/>
      <c r="N96" s="6">
        <f t="shared" si="36"/>
        <v>-0.19137660941062534</v>
      </c>
      <c r="O96" s="11"/>
      <c r="P96" s="7">
        <v>118622.39</v>
      </c>
      <c r="Q96" s="2"/>
      <c r="R96" s="6">
        <f t="shared" si="37"/>
        <v>5.2849088316572188E-2</v>
      </c>
      <c r="S96" s="2"/>
      <c r="T96" s="7">
        <v>126903.55</v>
      </c>
      <c r="U96" s="2"/>
      <c r="V96" s="6">
        <f t="shared" si="38"/>
        <v>0.10656883781065431</v>
      </c>
      <c r="W96" s="2"/>
      <c r="X96" s="7">
        <f t="shared" si="39"/>
        <v>-8281.1600000000035</v>
      </c>
      <c r="Y96" s="2"/>
      <c r="Z96" s="6">
        <f t="shared" si="40"/>
        <v>-6.5255542496644128E-2</v>
      </c>
    </row>
    <row r="97" spans="1:26" s="24" customFormat="1" hidden="1" outlineLevel="2" x14ac:dyDescent="0.3">
      <c r="A97" s="27"/>
      <c r="B97" s="11" t="str">
        <f>CONCATENATE("          ", "6004", " - ", "STAFF HOURLY")</f>
        <v xml:space="preserve">          6004 - STAFF HOURLY</v>
      </c>
      <c r="C97" s="11"/>
      <c r="D97" s="7">
        <v>6306.96</v>
      </c>
      <c r="E97" s="2"/>
      <c r="F97" s="6">
        <f t="shared" si="33"/>
        <v>3.5852127539110726E-2</v>
      </c>
      <c r="G97" s="2"/>
      <c r="H97" s="7">
        <v>3770.92</v>
      </c>
      <c r="I97" s="2"/>
      <c r="J97" s="6">
        <f t="shared" si="34"/>
        <v>2.3525260527044383E-2</v>
      </c>
      <c r="K97" s="2"/>
      <c r="L97" s="7">
        <f t="shared" si="35"/>
        <v>2536.04</v>
      </c>
      <c r="M97" s="2"/>
      <c r="N97" s="6">
        <f t="shared" si="36"/>
        <v>0.67252553753460687</v>
      </c>
      <c r="O97" s="11"/>
      <c r="P97" s="7">
        <v>59811.53</v>
      </c>
      <c r="Q97" s="2"/>
      <c r="R97" s="6">
        <f t="shared" si="37"/>
        <v>2.6647455268093204E-2</v>
      </c>
      <c r="S97" s="2"/>
      <c r="T97" s="7">
        <v>45662.67</v>
      </c>
      <c r="U97" s="2"/>
      <c r="V97" s="6">
        <f t="shared" si="38"/>
        <v>3.8345796262054366E-2</v>
      </c>
      <c r="W97" s="2"/>
      <c r="X97" s="7">
        <f t="shared" si="39"/>
        <v>14148.86</v>
      </c>
      <c r="Y97" s="2"/>
      <c r="Z97" s="6">
        <f t="shared" si="40"/>
        <v>0.30985616916400205</v>
      </c>
    </row>
    <row r="98" spans="1:26" s="24" customFormat="1" hidden="1" outlineLevel="2" x14ac:dyDescent="0.3">
      <c r="A98" s="27"/>
      <c r="B98" s="11" t="str">
        <f>CONCATENATE("          ", "6005", " - ", "TEMPORARY WAGES-HOURLY")</f>
        <v xml:space="preserve">          6005 - TEMPORARY WAGES-HOURLY</v>
      </c>
      <c r="C98" s="11"/>
      <c r="D98" s="7">
        <v>4337.68</v>
      </c>
      <c r="E98" s="2"/>
      <c r="F98" s="6">
        <f t="shared" si="33"/>
        <v>2.4657688741303231E-2</v>
      </c>
      <c r="G98" s="2"/>
      <c r="H98" s="7">
        <v>5750.61</v>
      </c>
      <c r="I98" s="2"/>
      <c r="J98" s="6">
        <f t="shared" si="34"/>
        <v>3.5875754043953913E-2</v>
      </c>
      <c r="K98" s="2"/>
      <c r="L98" s="7">
        <f t="shared" si="35"/>
        <v>-1412.9299999999994</v>
      </c>
      <c r="M98" s="2"/>
      <c r="N98" s="6">
        <f t="shared" si="36"/>
        <v>-0.2457008908620128</v>
      </c>
      <c r="O98" s="11"/>
      <c r="P98" s="7">
        <v>24414.33</v>
      </c>
      <c r="Q98" s="2"/>
      <c r="R98" s="6">
        <f t="shared" si="37"/>
        <v>1.0877163091722717E-2</v>
      </c>
      <c r="S98" s="2"/>
      <c r="T98" s="7">
        <v>37275.94</v>
      </c>
      <c r="U98" s="2"/>
      <c r="V98" s="6">
        <f t="shared" si="38"/>
        <v>3.1302935214181801E-2</v>
      </c>
      <c r="W98" s="2"/>
      <c r="X98" s="7">
        <f t="shared" si="39"/>
        <v>-12861.61</v>
      </c>
      <c r="Y98" s="2"/>
      <c r="Z98" s="6">
        <f t="shared" si="40"/>
        <v>-0.34503784478674449</v>
      </c>
    </row>
    <row r="99" spans="1:26" s="24" customFormat="1" hidden="1" outlineLevel="2" x14ac:dyDescent="0.3">
      <c r="A99" s="27"/>
      <c r="B99" s="11" t="str">
        <f>CONCATENATE("          ", "6007", " - ", "STUDENT HOURLY")</f>
        <v xml:space="preserve">          6007 - STUDENT HOURLY</v>
      </c>
      <c r="C99" s="11"/>
      <c r="D99" s="7">
        <v>40211.74</v>
      </c>
      <c r="E99" s="2"/>
      <c r="F99" s="6">
        <f t="shared" si="33"/>
        <v>0.22858499674162516</v>
      </c>
      <c r="G99" s="2"/>
      <c r="H99" s="7">
        <v>11914.53</v>
      </c>
      <c r="I99" s="2"/>
      <c r="J99" s="6">
        <f t="shared" si="34"/>
        <v>7.4329983745952219E-2</v>
      </c>
      <c r="K99" s="2"/>
      <c r="L99" s="7">
        <f t="shared" si="35"/>
        <v>28297.21</v>
      </c>
      <c r="M99" s="2"/>
      <c r="N99" s="6">
        <f t="shared" si="36"/>
        <v>2.3750168911404814</v>
      </c>
      <c r="O99" s="11"/>
      <c r="P99" s="7">
        <v>190356.82</v>
      </c>
      <c r="Q99" s="2"/>
      <c r="R99" s="6">
        <f t="shared" si="37"/>
        <v>8.4808478330624049E-2</v>
      </c>
      <c r="S99" s="2"/>
      <c r="T99" s="7">
        <v>51087.66</v>
      </c>
      <c r="U99" s="2"/>
      <c r="V99" s="6">
        <f t="shared" si="38"/>
        <v>4.2901499230445887E-2</v>
      </c>
      <c r="W99" s="2"/>
      <c r="X99" s="7">
        <f t="shared" si="39"/>
        <v>139269.16</v>
      </c>
      <c r="Y99" s="2"/>
      <c r="Z99" s="6">
        <f t="shared" si="40"/>
        <v>2.7260821889278155</v>
      </c>
    </row>
    <row r="100" spans="1:26" s="24" customFormat="1" hidden="1" outlineLevel="2" x14ac:dyDescent="0.3">
      <c r="A100" s="27"/>
      <c r="B100" s="11" t="str">
        <f>CONCATENATE("          ", "6008", " - ", "STUDENT HOURLY-FICA EXEMPT")</f>
        <v xml:space="preserve">          6008 - STUDENT HOURLY-FICA EXEMPT</v>
      </c>
      <c r="C100" s="11"/>
      <c r="D100" s="7">
        <v>3923.96</v>
      </c>
      <c r="E100" s="2"/>
      <c r="F100" s="6">
        <f t="shared" si="33"/>
        <v>2.2305883401570477E-2</v>
      </c>
      <c r="G100" s="2"/>
      <c r="H100" s="7">
        <v>562.52</v>
      </c>
      <c r="I100" s="2"/>
      <c r="J100" s="6">
        <f t="shared" si="34"/>
        <v>3.5093371250710719E-3</v>
      </c>
      <c r="K100" s="2"/>
      <c r="L100" s="7">
        <f t="shared" si="35"/>
        <v>3361.44</v>
      </c>
      <c r="M100" s="2"/>
      <c r="N100" s="6">
        <f t="shared" si="36"/>
        <v>5.975680864680367</v>
      </c>
      <c r="O100" s="11"/>
      <c r="P100" s="7">
        <v>43886.89</v>
      </c>
      <c r="Q100" s="2"/>
      <c r="R100" s="6">
        <f t="shared" si="37"/>
        <v>1.9552650435973248E-2</v>
      </c>
      <c r="S100" s="2"/>
      <c r="T100" s="7">
        <v>5492.97</v>
      </c>
      <c r="U100" s="2"/>
      <c r="V100" s="6">
        <f t="shared" si="38"/>
        <v>4.6127900206794038E-3</v>
      </c>
      <c r="W100" s="2"/>
      <c r="X100" s="7">
        <f t="shared" si="39"/>
        <v>38393.919999999998</v>
      </c>
      <c r="Y100" s="2"/>
      <c r="Z100" s="6">
        <f t="shared" si="40"/>
        <v>6.989646766685417</v>
      </c>
    </row>
    <row r="101" spans="1:26" s="29" customFormat="1" outlineLevel="1" collapsed="1" x14ac:dyDescent="0.3">
      <c r="A101" s="28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723.83</v>
      </c>
      <c r="E101" s="1"/>
      <c r="F101" s="5">
        <f t="shared" ref="F101:F109" si="41">IF(D$12=0,0,D101/D$12)</f>
        <v>4.1146361284413596E-3</v>
      </c>
      <c r="G101" s="1"/>
      <c r="H101" s="1">
        <f>SUM(OSRRefH22_2x_0)</f>
        <v>637.52</v>
      </c>
      <c r="I101" s="1"/>
      <c r="J101" s="5">
        <f t="shared" ref="J101:J109" si="42">IF(H$12=0,0,H101/H$12)</f>
        <v>3.9772321054812442E-3</v>
      </c>
      <c r="K101" s="1"/>
      <c r="L101" s="1">
        <f t="shared" ref="L101:L109" si="43">+D101-H101</f>
        <v>86.310000000000059</v>
      </c>
      <c r="M101" s="1"/>
      <c r="N101" s="5">
        <f t="shared" ref="N101:N109" si="44">IF(H101=0,0,L101/H101)</f>
        <v>0.13538398795331921</v>
      </c>
      <c r="O101" s="14"/>
      <c r="P101" s="1">
        <f>SUM(OSRRefP22_2x_0)</f>
        <v>4035.39</v>
      </c>
      <c r="Q101" s="1"/>
      <c r="R101" s="5">
        <f t="shared" ref="R101:R109" si="45">IF(P$12=0,0,P101/P$12)</f>
        <v>1.7978619592963203E-3</v>
      </c>
      <c r="S101" s="1"/>
      <c r="T101" s="1">
        <f>SUM(OSRRefT22_2x_0)</f>
        <v>13684.87</v>
      </c>
      <c r="U101" s="1"/>
      <c r="V101" s="5">
        <f t="shared" ref="V101:V109" si="46">IF(T$12=0,0,T101/T$12)</f>
        <v>1.1492040147733367E-2</v>
      </c>
      <c r="W101" s="1"/>
      <c r="X101" s="1">
        <f t="shared" ref="X101:X109" si="47">+P101-T101</f>
        <v>-9649.4800000000014</v>
      </c>
      <c r="Y101" s="1"/>
      <c r="Z101" s="5">
        <f t="shared" ref="Z101:Z109" si="48">IF(T101=0,0,X101/T101)</f>
        <v>-0.70512032631658184</v>
      </c>
    </row>
    <row r="102" spans="1:26" s="24" customFormat="1" hidden="1" outlineLevel="2" x14ac:dyDescent="0.3">
      <c r="A102" s="27"/>
      <c r="B102" s="11" t="str">
        <f>CONCATENATE("          ", "6362", " - ", "ADVERTISING EXPENSE")</f>
        <v xml:space="preserve">          6362 - ADVERTISING EXPENSE</v>
      </c>
      <c r="C102" s="11"/>
      <c r="D102" s="7">
        <v>723.83</v>
      </c>
      <c r="E102" s="2"/>
      <c r="F102" s="6">
        <f t="shared" si="41"/>
        <v>4.1146361284413596E-3</v>
      </c>
      <c r="G102" s="2"/>
      <c r="H102" s="7">
        <v>637.52</v>
      </c>
      <c r="I102" s="2"/>
      <c r="J102" s="6">
        <f t="shared" si="42"/>
        <v>3.9772321054812442E-3</v>
      </c>
      <c r="K102" s="2"/>
      <c r="L102" s="7">
        <f t="shared" si="43"/>
        <v>86.310000000000059</v>
      </c>
      <c r="M102" s="2"/>
      <c r="N102" s="6">
        <f t="shared" si="44"/>
        <v>0.13538398795331921</v>
      </c>
      <c r="O102" s="11"/>
      <c r="P102" s="7">
        <v>4035.39</v>
      </c>
      <c r="Q102" s="2"/>
      <c r="R102" s="6">
        <f t="shared" si="45"/>
        <v>1.7978619592963203E-3</v>
      </c>
      <c r="S102" s="2"/>
      <c r="T102" s="7">
        <v>13684.87</v>
      </c>
      <c r="U102" s="2"/>
      <c r="V102" s="6">
        <f t="shared" si="46"/>
        <v>1.1492040147733367E-2</v>
      </c>
      <c r="W102" s="2"/>
      <c r="X102" s="7">
        <f t="shared" si="47"/>
        <v>-9649.4800000000014</v>
      </c>
      <c r="Y102" s="2"/>
      <c r="Z102" s="6">
        <f t="shared" si="48"/>
        <v>-0.70512032631658184</v>
      </c>
    </row>
    <row r="103" spans="1:26" s="29" customFormat="1" outlineLevel="1" collapsed="1" x14ac:dyDescent="0.3">
      <c r="A103" s="28"/>
      <c r="B103" s="14" t="str">
        <f>CONCATENATE("     ","Bad Debts/Over/Short                              ")</f>
        <v xml:space="preserve">     Bad Debts/Over/Short                              </v>
      </c>
      <c r="C103" s="14"/>
      <c r="D103" s="1">
        <f>SUM(OSRRefD22_3x_0)</f>
        <v>-3.35</v>
      </c>
      <c r="E103" s="1"/>
      <c r="F103" s="5">
        <f t="shared" si="41"/>
        <v>-1.9043188359529939E-5</v>
      </c>
      <c r="G103" s="1"/>
      <c r="H103" s="1">
        <f>SUM(OSRRefH22_3x_0)</f>
        <v>-0.41</v>
      </c>
      <c r="I103" s="1"/>
      <c r="J103" s="5">
        <f t="shared" si="42"/>
        <v>-2.5578258929089445E-6</v>
      </c>
      <c r="K103" s="1"/>
      <c r="L103" s="1">
        <f t="shared" si="43"/>
        <v>-2.94</v>
      </c>
      <c r="M103" s="1"/>
      <c r="N103" s="5">
        <f t="shared" si="44"/>
        <v>7.1707317073170733</v>
      </c>
      <c r="O103" s="14"/>
      <c r="P103" s="1">
        <f>SUM(OSRRefP22_3x_0)</f>
        <v>-13.38</v>
      </c>
      <c r="Q103" s="1"/>
      <c r="R103" s="5">
        <f t="shared" si="45"/>
        <v>-5.9611073565094738E-6</v>
      </c>
      <c r="S103" s="1"/>
      <c r="T103" s="1">
        <f>SUM(OSRRefT22_3x_0)</f>
        <v>-1.8</v>
      </c>
      <c r="U103" s="1"/>
      <c r="V103" s="5">
        <f t="shared" si="46"/>
        <v>-1.511572434807204E-6</v>
      </c>
      <c r="W103" s="1"/>
      <c r="X103" s="1">
        <f t="shared" si="47"/>
        <v>-11.58</v>
      </c>
      <c r="Y103" s="1"/>
      <c r="Z103" s="5">
        <f t="shared" si="48"/>
        <v>6.4333333333333336</v>
      </c>
    </row>
    <row r="104" spans="1:26" s="24" customFormat="1" hidden="1" outlineLevel="2" x14ac:dyDescent="0.3">
      <c r="A104" s="27"/>
      <c r="B104" s="11" t="str">
        <f>CONCATENATE("          ", "6272", " - ", "CASH (OVER/SHORT)")</f>
        <v xml:space="preserve">          6272 - CASH (OVER/SHORT)</v>
      </c>
      <c r="C104" s="11"/>
      <c r="D104" s="7">
        <v>-3.35</v>
      </c>
      <c r="E104" s="2"/>
      <c r="F104" s="6">
        <f t="shared" si="41"/>
        <v>-1.9043188359529939E-5</v>
      </c>
      <c r="G104" s="2"/>
      <c r="H104" s="7">
        <v>-0.41</v>
      </c>
      <c r="I104" s="2"/>
      <c r="J104" s="6">
        <f t="shared" si="42"/>
        <v>-2.5578258929089445E-6</v>
      </c>
      <c r="K104" s="2"/>
      <c r="L104" s="7">
        <f t="shared" si="43"/>
        <v>-2.94</v>
      </c>
      <c r="M104" s="2"/>
      <c r="N104" s="6">
        <f t="shared" si="44"/>
        <v>7.1707317073170733</v>
      </c>
      <c r="O104" s="11"/>
      <c r="P104" s="7">
        <v>-13.38</v>
      </c>
      <c r="Q104" s="2"/>
      <c r="R104" s="6">
        <f t="shared" si="45"/>
        <v>-5.9611073565094738E-6</v>
      </c>
      <c r="S104" s="2"/>
      <c r="T104" s="7">
        <v>-1.8</v>
      </c>
      <c r="U104" s="2"/>
      <c r="V104" s="6">
        <f t="shared" si="46"/>
        <v>-1.511572434807204E-6</v>
      </c>
      <c r="W104" s="2"/>
      <c r="X104" s="7">
        <f t="shared" si="47"/>
        <v>-11.58</v>
      </c>
      <c r="Y104" s="2"/>
      <c r="Z104" s="6">
        <f t="shared" si="48"/>
        <v>6.4333333333333336</v>
      </c>
    </row>
    <row r="105" spans="1:26" s="29" customFormat="1" outlineLevel="1" collapsed="1" x14ac:dyDescent="0.3">
      <c r="A105" s="28"/>
      <c r="B105" s="14" t="str">
        <f>CONCATENATE("     ","Bank/card Fees                                    ")</f>
        <v xml:space="preserve">     Bank/card Fees                                    </v>
      </c>
      <c r="C105" s="14"/>
      <c r="D105" s="1">
        <f>SUM(OSRRefD22_4x_0)</f>
        <v>339.5</v>
      </c>
      <c r="E105" s="1"/>
      <c r="F105" s="5">
        <f t="shared" si="41"/>
        <v>1.9298992382269892E-3</v>
      </c>
      <c r="G105" s="1"/>
      <c r="H105" s="1">
        <f>SUM(OSRRefH22_4x_0)</f>
        <v>244.74</v>
      </c>
      <c r="I105" s="1"/>
      <c r="J105" s="5">
        <f t="shared" si="42"/>
        <v>1.5268349000744758E-3</v>
      </c>
      <c r="K105" s="1"/>
      <c r="L105" s="1">
        <f t="shared" si="43"/>
        <v>94.759999999999991</v>
      </c>
      <c r="M105" s="1"/>
      <c r="N105" s="5">
        <f t="shared" si="44"/>
        <v>0.38718640189588949</v>
      </c>
      <c r="O105" s="14"/>
      <c r="P105" s="1">
        <f>SUM(OSRRefP22_4x_0)</f>
        <v>3814.08</v>
      </c>
      <c r="Q105" s="1"/>
      <c r="R105" s="5">
        <f t="shared" si="45"/>
        <v>1.6992631051058037E-3</v>
      </c>
      <c r="S105" s="1"/>
      <c r="T105" s="1">
        <f>SUM(OSRRefT22_4x_0)</f>
        <v>2559.0100000000002</v>
      </c>
      <c r="U105" s="1"/>
      <c r="V105" s="5">
        <f t="shared" si="46"/>
        <v>2.1489605424422128E-3</v>
      </c>
      <c r="W105" s="1"/>
      <c r="X105" s="1">
        <f t="shared" si="47"/>
        <v>1255.0699999999997</v>
      </c>
      <c r="Y105" s="1"/>
      <c r="Z105" s="5">
        <f t="shared" si="48"/>
        <v>0.49045138549673489</v>
      </c>
    </row>
    <row r="106" spans="1:26" s="24" customFormat="1" hidden="1" outlineLevel="2" x14ac:dyDescent="0.3">
      <c r="A106" s="27"/>
      <c r="B106" s="11" t="str">
        <f>CONCATENATE("          ", "6381", " - ", "BANK/CREDIT CARD FEES")</f>
        <v xml:space="preserve">          6381 - BANK/CREDIT CARD FEES</v>
      </c>
      <c r="C106" s="11"/>
      <c r="D106" s="7">
        <v>339.5</v>
      </c>
      <c r="E106" s="2"/>
      <c r="F106" s="6">
        <f t="shared" si="41"/>
        <v>1.9298992382269892E-3</v>
      </c>
      <c r="G106" s="2"/>
      <c r="H106" s="7">
        <v>244.74</v>
      </c>
      <c r="I106" s="2"/>
      <c r="J106" s="6">
        <f t="shared" si="42"/>
        <v>1.5268349000744758E-3</v>
      </c>
      <c r="K106" s="2"/>
      <c r="L106" s="7">
        <f t="shared" si="43"/>
        <v>94.759999999999991</v>
      </c>
      <c r="M106" s="2"/>
      <c r="N106" s="6">
        <f t="shared" si="44"/>
        <v>0.38718640189588949</v>
      </c>
      <c r="O106" s="11"/>
      <c r="P106" s="7">
        <v>3814.08</v>
      </c>
      <c r="Q106" s="2"/>
      <c r="R106" s="6">
        <f t="shared" si="45"/>
        <v>1.6992631051058037E-3</v>
      </c>
      <c r="S106" s="2"/>
      <c r="T106" s="7">
        <v>2559.0100000000002</v>
      </c>
      <c r="U106" s="2"/>
      <c r="V106" s="6">
        <f t="shared" si="46"/>
        <v>2.1489605424422128E-3</v>
      </c>
      <c r="W106" s="2"/>
      <c r="X106" s="7">
        <f t="shared" si="47"/>
        <v>1255.0699999999997</v>
      </c>
      <c r="Y106" s="2"/>
      <c r="Z106" s="6">
        <f t="shared" si="48"/>
        <v>0.49045138549673489</v>
      </c>
    </row>
    <row r="107" spans="1:26" s="29" customFormat="1" outlineLevel="1" collapsed="1" x14ac:dyDescent="0.3">
      <c r="A107" s="28"/>
      <c r="B107" s="14" t="str">
        <f>CONCATENATE("     ","Discounts and Markdowns                           ")</f>
        <v xml:space="preserve">     Discounts and Markdowns                           </v>
      </c>
      <c r="C107" s="14"/>
      <c r="D107" s="1">
        <f>SUM(OSRRefD22_5x_0)</f>
        <v>0</v>
      </c>
      <c r="E107" s="1"/>
      <c r="F107" s="5">
        <f t="shared" si="41"/>
        <v>0</v>
      </c>
      <c r="G107" s="1"/>
      <c r="H107" s="1">
        <f>SUM(OSRRefH22_5x_0)</f>
        <v>0</v>
      </c>
      <c r="I107" s="1"/>
      <c r="J107" s="5">
        <f t="shared" si="42"/>
        <v>0</v>
      </c>
      <c r="K107" s="1"/>
      <c r="L107" s="1">
        <f t="shared" si="43"/>
        <v>0</v>
      </c>
      <c r="M107" s="1"/>
      <c r="N107" s="5">
        <f t="shared" si="44"/>
        <v>0</v>
      </c>
      <c r="O107" s="14"/>
      <c r="P107" s="1">
        <f>SUM(OSRRefP22_5x_0)</f>
        <v>0</v>
      </c>
      <c r="Q107" s="1"/>
      <c r="R107" s="5">
        <f t="shared" si="45"/>
        <v>0</v>
      </c>
      <c r="S107" s="1"/>
      <c r="T107" s="1">
        <f>SUM(OSRRefT22_5x_0)</f>
        <v>0</v>
      </c>
      <c r="U107" s="1"/>
      <c r="V107" s="5">
        <f t="shared" si="46"/>
        <v>0</v>
      </c>
      <c r="W107" s="1"/>
      <c r="X107" s="1">
        <f t="shared" si="47"/>
        <v>0</v>
      </c>
      <c r="Y107" s="1"/>
      <c r="Z107" s="5">
        <f t="shared" si="48"/>
        <v>0</v>
      </c>
    </row>
    <row r="108" spans="1:26" s="24" customFormat="1" hidden="1" outlineLevel="2" x14ac:dyDescent="0.3">
      <c r="A108" s="27"/>
      <c r="B108" s="11" t="str">
        <f>CONCATENATE("          ", "6382", " - ", "DISCOUNTS/MARK DOWNS")</f>
        <v xml:space="preserve">          6382 - DISCOUNTS/MARK DOWNS</v>
      </c>
      <c r="C108" s="11"/>
      <c r="D108" s="7"/>
      <c r="E108" s="2"/>
      <c r="F108" s="6">
        <f t="shared" si="41"/>
        <v>0</v>
      </c>
      <c r="G108" s="2"/>
      <c r="H108" s="7">
        <v>0</v>
      </c>
      <c r="I108" s="2"/>
      <c r="J108" s="6">
        <f t="shared" si="42"/>
        <v>0</v>
      </c>
      <c r="K108" s="2"/>
      <c r="L108" s="7">
        <f t="shared" si="43"/>
        <v>0</v>
      </c>
      <c r="M108" s="2"/>
      <c r="N108" s="6">
        <f t="shared" si="44"/>
        <v>0</v>
      </c>
      <c r="O108" s="11"/>
      <c r="P108" s="7"/>
      <c r="Q108" s="2"/>
      <c r="R108" s="6">
        <f t="shared" si="45"/>
        <v>0</v>
      </c>
      <c r="S108" s="2"/>
      <c r="T108" s="7">
        <v>0</v>
      </c>
      <c r="U108" s="2"/>
      <c r="V108" s="6">
        <f t="shared" si="46"/>
        <v>0</v>
      </c>
      <c r="W108" s="2"/>
      <c r="X108" s="7">
        <f t="shared" si="47"/>
        <v>0</v>
      </c>
      <c r="Y108" s="2"/>
      <c r="Z108" s="6">
        <f t="shared" si="48"/>
        <v>0</v>
      </c>
    </row>
    <row r="109" spans="1:26" s="24" customFormat="1" hidden="1" outlineLevel="2" x14ac:dyDescent="0.3">
      <c r="A109" s="27"/>
      <c r="B109" s="11" t="str">
        <f>CONCATENATE("          ", "9175", " - ", "EARNED DISCOUNTS")</f>
        <v xml:space="preserve">          9175 - EARNED DISCOUNTS</v>
      </c>
      <c r="C109" s="11"/>
      <c r="D109" s="7"/>
      <c r="E109" s="2"/>
      <c r="F109" s="6">
        <f t="shared" si="41"/>
        <v>0</v>
      </c>
      <c r="G109" s="2"/>
      <c r="H109" s="7"/>
      <c r="I109" s="2"/>
      <c r="J109" s="6">
        <f t="shared" si="42"/>
        <v>0</v>
      </c>
      <c r="K109" s="2"/>
      <c r="L109" s="7">
        <f t="shared" si="43"/>
        <v>0</v>
      </c>
      <c r="M109" s="2"/>
      <c r="N109" s="6">
        <f t="shared" si="44"/>
        <v>0</v>
      </c>
      <c r="O109" s="11"/>
      <c r="P109" s="7">
        <v>0</v>
      </c>
      <c r="Q109" s="2"/>
      <c r="R109" s="6">
        <f t="shared" si="45"/>
        <v>0</v>
      </c>
      <c r="S109" s="2"/>
      <c r="T109" s="7"/>
      <c r="U109" s="2"/>
      <c r="V109" s="6">
        <f t="shared" si="46"/>
        <v>0</v>
      </c>
      <c r="W109" s="2"/>
      <c r="X109" s="7">
        <f t="shared" si="47"/>
        <v>0</v>
      </c>
      <c r="Y109" s="2"/>
      <c r="Z109" s="6">
        <f t="shared" si="48"/>
        <v>0</v>
      </c>
    </row>
    <row r="110" spans="1:26" s="29" customFormat="1" outlineLevel="1" collapsed="1" x14ac:dyDescent="0.3">
      <c r="A110" s="28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SUM(OSRRefD22_6x_0)</f>
        <v>0</v>
      </c>
      <c r="E110" s="1"/>
      <c r="F110" s="5">
        <f t="shared" ref="F110:F116" si="49">IF(D$12=0,0,D110/D$12)</f>
        <v>0</v>
      </c>
      <c r="G110" s="1"/>
      <c r="H110" s="1">
        <f>SUM(OSRRefH22_6x_0)</f>
        <v>0</v>
      </c>
      <c r="I110" s="1"/>
      <c r="J110" s="5">
        <f t="shared" ref="J110:J116" si="50">IF(H$12=0,0,H110/H$12)</f>
        <v>0</v>
      </c>
      <c r="K110" s="1"/>
      <c r="L110" s="1">
        <f t="shared" ref="L110:L116" si="51">+D110-H110</f>
        <v>0</v>
      </c>
      <c r="M110" s="1"/>
      <c r="N110" s="5">
        <f t="shared" ref="N110:N116" si="52">IF(H110=0,0,L110/H110)</f>
        <v>0</v>
      </c>
      <c r="O110" s="14"/>
      <c r="P110" s="1">
        <f>SUM(OSRRefP22_6x_0)</f>
        <v>216.44</v>
      </c>
      <c r="Q110" s="1"/>
      <c r="R110" s="5">
        <f t="shared" ref="R110:R116" si="53">IF(P$12=0,0,P110/P$12)</f>
        <v>9.6429153680337114E-5</v>
      </c>
      <c r="S110" s="1"/>
      <c r="T110" s="1">
        <f>SUM(OSRRefT22_6x_0)</f>
        <v>0</v>
      </c>
      <c r="U110" s="1"/>
      <c r="V110" s="5">
        <f t="shared" ref="V110:V116" si="54">IF(T$12=0,0,T110/T$12)</f>
        <v>0</v>
      </c>
      <c r="W110" s="1"/>
      <c r="X110" s="1">
        <f t="shared" ref="X110:X116" si="55">+P110-T110</f>
        <v>216.44</v>
      </c>
      <c r="Y110" s="1"/>
      <c r="Z110" s="5">
        <f t="shared" ref="Z110:Z116" si="56">IF(T110=0,0,X110/T110)</f>
        <v>0</v>
      </c>
    </row>
    <row r="111" spans="1:26" s="24" customFormat="1" hidden="1" outlineLevel="2" x14ac:dyDescent="0.3">
      <c r="A111" s="27"/>
      <c r="B111" s="11" t="str">
        <f>CONCATENATE("          ", "6277", " - ", "EMPLOYEE APPRECIATION")</f>
        <v xml:space="preserve">          6277 - EMPLOYEE APPRECIATION</v>
      </c>
      <c r="C111" s="11"/>
      <c r="D111" s="7"/>
      <c r="E111" s="2"/>
      <c r="F111" s="6">
        <f t="shared" si="49"/>
        <v>0</v>
      </c>
      <c r="G111" s="2"/>
      <c r="H111" s="7"/>
      <c r="I111" s="2"/>
      <c r="J111" s="6">
        <f t="shared" si="50"/>
        <v>0</v>
      </c>
      <c r="K111" s="2"/>
      <c r="L111" s="7">
        <f t="shared" si="51"/>
        <v>0</v>
      </c>
      <c r="M111" s="2"/>
      <c r="N111" s="6">
        <f t="shared" si="52"/>
        <v>0</v>
      </c>
      <c r="O111" s="11"/>
      <c r="P111" s="7">
        <v>216.44</v>
      </c>
      <c r="Q111" s="2"/>
      <c r="R111" s="6">
        <f t="shared" si="53"/>
        <v>9.6429153680337114E-5</v>
      </c>
      <c r="S111" s="2"/>
      <c r="T111" s="7"/>
      <c r="U111" s="2"/>
      <c r="V111" s="6">
        <f t="shared" si="54"/>
        <v>0</v>
      </c>
      <c r="W111" s="2"/>
      <c r="X111" s="7">
        <f t="shared" si="55"/>
        <v>216.44</v>
      </c>
      <c r="Y111" s="2"/>
      <c r="Z111" s="6">
        <f t="shared" si="56"/>
        <v>0</v>
      </c>
    </row>
    <row r="112" spans="1:26" s="29" customFormat="1" outlineLevel="1" collapsed="1" x14ac:dyDescent="0.3">
      <c r="A112" s="28"/>
      <c r="B112" s="14" t="str">
        <f>CONCATENATE("     ","Equipment Rental                                  ")</f>
        <v xml:space="preserve">     Equipment Rental                                  </v>
      </c>
      <c r="C112" s="14"/>
      <c r="D112" s="1">
        <f>SUM(OSRRefD22_7x_0)</f>
        <v>0</v>
      </c>
      <c r="E112" s="1"/>
      <c r="F112" s="5">
        <f t="shared" si="49"/>
        <v>0</v>
      </c>
      <c r="G112" s="1"/>
      <c r="H112" s="1">
        <f>SUM(OSRRefH22_7x_0)</f>
        <v>0</v>
      </c>
      <c r="I112" s="1"/>
      <c r="J112" s="5">
        <f t="shared" si="50"/>
        <v>0</v>
      </c>
      <c r="K112" s="1"/>
      <c r="L112" s="1">
        <f t="shared" si="51"/>
        <v>0</v>
      </c>
      <c r="M112" s="1"/>
      <c r="N112" s="5">
        <f t="shared" si="52"/>
        <v>0</v>
      </c>
      <c r="O112" s="14"/>
      <c r="P112" s="1">
        <f>SUM(OSRRefP22_7x_0)</f>
        <v>118.91</v>
      </c>
      <c r="Q112" s="1"/>
      <c r="R112" s="5">
        <f t="shared" si="53"/>
        <v>5.2977225393314016E-5</v>
      </c>
      <c r="S112" s="1"/>
      <c r="T112" s="1">
        <f>SUM(OSRRefT22_7x_0)</f>
        <v>0</v>
      </c>
      <c r="U112" s="1"/>
      <c r="V112" s="5">
        <f t="shared" si="54"/>
        <v>0</v>
      </c>
      <c r="W112" s="1"/>
      <c r="X112" s="1">
        <f t="shared" si="55"/>
        <v>118.91</v>
      </c>
      <c r="Y112" s="1"/>
      <c r="Z112" s="5">
        <f t="shared" si="56"/>
        <v>0</v>
      </c>
    </row>
    <row r="113" spans="1:26" s="24" customFormat="1" hidden="1" outlineLevel="2" x14ac:dyDescent="0.3">
      <c r="A113" s="27"/>
      <c r="B113" s="11" t="str">
        <f>CONCATENATE("          ", "6351", " - ", "EQUIPMENT RENTAL")</f>
        <v xml:space="preserve">          6351 - EQUIPMENT RENTAL</v>
      </c>
      <c r="C113" s="11"/>
      <c r="D113" s="7"/>
      <c r="E113" s="2"/>
      <c r="F113" s="6">
        <f t="shared" si="49"/>
        <v>0</v>
      </c>
      <c r="G113" s="2"/>
      <c r="H113" s="7"/>
      <c r="I113" s="2"/>
      <c r="J113" s="6">
        <f t="shared" si="50"/>
        <v>0</v>
      </c>
      <c r="K113" s="2"/>
      <c r="L113" s="7">
        <f t="shared" si="51"/>
        <v>0</v>
      </c>
      <c r="M113" s="2"/>
      <c r="N113" s="6">
        <f t="shared" si="52"/>
        <v>0</v>
      </c>
      <c r="O113" s="11"/>
      <c r="P113" s="7">
        <v>118.91</v>
      </c>
      <c r="Q113" s="2"/>
      <c r="R113" s="6">
        <f t="shared" si="53"/>
        <v>5.2977225393314016E-5</v>
      </c>
      <c r="S113" s="2"/>
      <c r="T113" s="7"/>
      <c r="U113" s="2"/>
      <c r="V113" s="6">
        <f t="shared" si="54"/>
        <v>0</v>
      </c>
      <c r="W113" s="2"/>
      <c r="X113" s="7">
        <f t="shared" si="55"/>
        <v>118.91</v>
      </c>
      <c r="Y113" s="2"/>
      <c r="Z113" s="6">
        <f t="shared" si="56"/>
        <v>0</v>
      </c>
    </row>
    <row r="114" spans="1:26" s="29" customFormat="1" outlineLevel="1" collapsed="1" x14ac:dyDescent="0.3">
      <c r="A114" s="28"/>
      <c r="B114" s="14" t="str">
        <f>CONCATENATE("     ","Freight out/Postage                               ")</f>
        <v xml:space="preserve">     Freight out/Postage                               </v>
      </c>
      <c r="C114" s="14"/>
      <c r="D114" s="1">
        <f>SUM(OSRRefD22_8x_0)</f>
        <v>0</v>
      </c>
      <c r="E114" s="1"/>
      <c r="F114" s="5">
        <f t="shared" si="49"/>
        <v>0</v>
      </c>
      <c r="G114" s="1"/>
      <c r="H114" s="1">
        <f>SUM(OSRRefH22_8x_0)</f>
        <v>127.18</v>
      </c>
      <c r="I114" s="1"/>
      <c r="J114" s="5">
        <f t="shared" si="50"/>
        <v>7.9342511478087702E-4</v>
      </c>
      <c r="K114" s="1"/>
      <c r="L114" s="1">
        <f t="shared" si="51"/>
        <v>-127.18</v>
      </c>
      <c r="M114" s="1"/>
      <c r="N114" s="5">
        <f t="shared" si="52"/>
        <v>-1</v>
      </c>
      <c r="O114" s="14"/>
      <c r="P114" s="1">
        <f>SUM(OSRRefP22_8x_0)</f>
        <v>929.29</v>
      </c>
      <c r="Q114" s="1"/>
      <c r="R114" s="5">
        <f t="shared" si="53"/>
        <v>4.1402073657180038E-4</v>
      </c>
      <c r="S114" s="1"/>
      <c r="T114" s="1">
        <f>SUM(OSRRefT22_8x_0)</f>
        <v>234.42</v>
      </c>
      <c r="U114" s="1"/>
      <c r="V114" s="5">
        <f t="shared" si="54"/>
        <v>1.9685711675972484E-4</v>
      </c>
      <c r="W114" s="1"/>
      <c r="X114" s="1">
        <f t="shared" si="55"/>
        <v>694.87</v>
      </c>
      <c r="Y114" s="1"/>
      <c r="Z114" s="5">
        <f t="shared" si="56"/>
        <v>2.9642095384352873</v>
      </c>
    </row>
    <row r="115" spans="1:26" s="24" customFormat="1" hidden="1" outlineLevel="2" x14ac:dyDescent="0.3">
      <c r="A115" s="27"/>
      <c r="B115" s="11" t="str">
        <f>CONCATENATE("          ", "6305", " - ", "FREIGHT OUT")</f>
        <v xml:space="preserve">          6305 - FREIGHT OUT</v>
      </c>
      <c r="C115" s="11"/>
      <c r="D115" s="7"/>
      <c r="E115" s="2"/>
      <c r="F115" s="6">
        <f t="shared" si="49"/>
        <v>0</v>
      </c>
      <c r="G115" s="2"/>
      <c r="H115" s="7">
        <v>127.18</v>
      </c>
      <c r="I115" s="2"/>
      <c r="J115" s="6">
        <f t="shared" si="50"/>
        <v>7.9342511478087702E-4</v>
      </c>
      <c r="K115" s="2"/>
      <c r="L115" s="7">
        <f t="shared" si="51"/>
        <v>-127.18</v>
      </c>
      <c r="M115" s="2"/>
      <c r="N115" s="6">
        <f t="shared" si="52"/>
        <v>-1</v>
      </c>
      <c r="O115" s="11"/>
      <c r="P115" s="7">
        <v>893.87</v>
      </c>
      <c r="Q115" s="2"/>
      <c r="R115" s="6">
        <f t="shared" si="53"/>
        <v>3.98240286454643E-4</v>
      </c>
      <c r="S115" s="2"/>
      <c r="T115" s="7">
        <v>240.42</v>
      </c>
      <c r="U115" s="2"/>
      <c r="V115" s="6">
        <f t="shared" si="54"/>
        <v>2.0189569154241551E-4</v>
      </c>
      <c r="W115" s="2"/>
      <c r="X115" s="7">
        <f t="shared" si="55"/>
        <v>653.45000000000005</v>
      </c>
      <c r="Y115" s="2"/>
      <c r="Z115" s="6">
        <f t="shared" si="56"/>
        <v>2.7179519174777478</v>
      </c>
    </row>
    <row r="116" spans="1:26" s="24" customFormat="1" hidden="1" outlineLevel="2" x14ac:dyDescent="0.3">
      <c r="A116" s="27"/>
      <c r="B116" s="11" t="str">
        <f>CONCATENATE("          ", "6307", " - ", "POSTAGE")</f>
        <v xml:space="preserve">          6307 - POSTAGE</v>
      </c>
      <c r="C116" s="11"/>
      <c r="D116" s="7"/>
      <c r="E116" s="2"/>
      <c r="F116" s="6">
        <f t="shared" si="49"/>
        <v>0</v>
      </c>
      <c r="G116" s="2"/>
      <c r="H116" s="7"/>
      <c r="I116" s="2"/>
      <c r="J116" s="6">
        <f t="shared" si="50"/>
        <v>0</v>
      </c>
      <c r="K116" s="2"/>
      <c r="L116" s="7">
        <f t="shared" si="51"/>
        <v>0</v>
      </c>
      <c r="M116" s="2"/>
      <c r="N116" s="6">
        <f t="shared" si="52"/>
        <v>0</v>
      </c>
      <c r="O116" s="11"/>
      <c r="P116" s="7">
        <v>35.42</v>
      </c>
      <c r="Q116" s="2"/>
      <c r="R116" s="6">
        <f t="shared" si="53"/>
        <v>1.5780450117157368E-5</v>
      </c>
      <c r="S116" s="2"/>
      <c r="T116" s="7">
        <v>-6</v>
      </c>
      <c r="U116" s="2"/>
      <c r="V116" s="6">
        <f t="shared" si="54"/>
        <v>-5.0385747826906797E-6</v>
      </c>
      <c r="W116" s="2"/>
      <c r="X116" s="7">
        <f t="shared" si="55"/>
        <v>41.42</v>
      </c>
      <c r="Y116" s="2"/>
      <c r="Z116" s="6">
        <f t="shared" si="56"/>
        <v>-6.9033333333333333</v>
      </c>
    </row>
    <row r="117" spans="1:26" s="29" customFormat="1" outlineLevel="1" collapsed="1" x14ac:dyDescent="0.3">
      <c r="A117" s="28"/>
      <c r="B117" s="14" t="str">
        <f>CONCATENATE("     ","General                                           ")</f>
        <v xml:space="preserve">     General                                           </v>
      </c>
      <c r="C117" s="14"/>
      <c r="D117" s="1">
        <f>SUM(OSRRefD22_9x_0)</f>
        <v>0</v>
      </c>
      <c r="E117" s="1"/>
      <c r="F117" s="5">
        <f t="shared" ref="F117:F123" si="57">IF(D$12=0,0,D117/D$12)</f>
        <v>0</v>
      </c>
      <c r="G117" s="1"/>
      <c r="H117" s="1">
        <f>SUM(OSRRefH22_9x_0)</f>
        <v>0</v>
      </c>
      <c r="I117" s="1"/>
      <c r="J117" s="5">
        <f t="shared" ref="J117:J123" si="58">IF(H$12=0,0,H117/H$12)</f>
        <v>0</v>
      </c>
      <c r="K117" s="1"/>
      <c r="L117" s="1">
        <f t="shared" ref="L117:L123" si="59">+D117-H117</f>
        <v>0</v>
      </c>
      <c r="M117" s="1"/>
      <c r="N117" s="5">
        <f t="shared" ref="N117:N123" si="60">IF(H117=0,0,L117/H117)</f>
        <v>0</v>
      </c>
      <c r="O117" s="14"/>
      <c r="P117" s="1">
        <f>SUM(OSRRefP22_9x_0)</f>
        <v>1295.0899999999999</v>
      </c>
      <c r="Q117" s="1"/>
      <c r="R117" s="5">
        <f t="shared" ref="R117:R123" si="61">IF(P$12=0,0,P117/P$12)</f>
        <v>5.7699331288055711E-4</v>
      </c>
      <c r="S117" s="1"/>
      <c r="T117" s="1">
        <f>SUM(OSRRefT22_9x_0)</f>
        <v>1285.46</v>
      </c>
      <c r="U117" s="1"/>
      <c r="V117" s="5">
        <f t="shared" ref="V117:V123" si="62">IF(T$12=0,0,T117/T$12)</f>
        <v>1.0794810566929268E-3</v>
      </c>
      <c r="W117" s="1"/>
      <c r="X117" s="1">
        <f t="shared" ref="X117:X123" si="63">+P117-T117</f>
        <v>9.6299999999998818</v>
      </c>
      <c r="Y117" s="1"/>
      <c r="Z117" s="5">
        <f t="shared" ref="Z117:Z123" si="64">IF(T117=0,0,X117/T117)</f>
        <v>7.4914816485926296E-3</v>
      </c>
    </row>
    <row r="118" spans="1:26" s="24" customFormat="1" hidden="1" outlineLevel="2" x14ac:dyDescent="0.3">
      <c r="A118" s="27"/>
      <c r="B118" s="11" t="str">
        <f>CONCATENATE("          ", "6279", " - ", "GENERAL EXPENSE")</f>
        <v xml:space="preserve">          6279 - GENERAL EXPENSE</v>
      </c>
      <c r="C118" s="11"/>
      <c r="D118" s="7"/>
      <c r="E118" s="2"/>
      <c r="F118" s="6">
        <f t="shared" si="57"/>
        <v>0</v>
      </c>
      <c r="G118" s="2"/>
      <c r="H118" s="7"/>
      <c r="I118" s="2"/>
      <c r="J118" s="6">
        <f t="shared" si="58"/>
        <v>0</v>
      </c>
      <c r="K118" s="2"/>
      <c r="L118" s="7">
        <f t="shared" si="59"/>
        <v>0</v>
      </c>
      <c r="M118" s="2"/>
      <c r="N118" s="6">
        <f t="shared" si="60"/>
        <v>0</v>
      </c>
      <c r="O118" s="11"/>
      <c r="P118" s="7">
        <v>1295.0899999999999</v>
      </c>
      <c r="Q118" s="2"/>
      <c r="R118" s="6">
        <f t="shared" si="61"/>
        <v>5.7699331288055711E-4</v>
      </c>
      <c r="S118" s="2"/>
      <c r="T118" s="7">
        <v>1285.46</v>
      </c>
      <c r="U118" s="2"/>
      <c r="V118" s="6">
        <f t="shared" si="62"/>
        <v>1.0794810566929268E-3</v>
      </c>
      <c r="W118" s="2"/>
      <c r="X118" s="7">
        <f t="shared" si="63"/>
        <v>9.6299999999998818</v>
      </c>
      <c r="Y118" s="2"/>
      <c r="Z118" s="6">
        <f t="shared" si="64"/>
        <v>7.4914816485926296E-3</v>
      </c>
    </row>
    <row r="119" spans="1:26" s="29" customFormat="1" outlineLevel="1" collapsed="1" x14ac:dyDescent="0.3">
      <c r="A119" s="28"/>
      <c r="B119" s="14" t="str">
        <f>CONCATENATE("     ","Insurance                                         ")</f>
        <v xml:space="preserve">     Insurance                                         </v>
      </c>
      <c r="C119" s="14"/>
      <c r="D119" s="1">
        <f>SUM(OSRRefD22_10x_0)</f>
        <v>219.08</v>
      </c>
      <c r="E119" s="1"/>
      <c r="F119" s="5">
        <f t="shared" si="57"/>
        <v>1.2453676733748713E-3</v>
      </c>
      <c r="G119" s="1"/>
      <c r="H119" s="1">
        <f>SUM(OSRRefH22_10x_0)</f>
        <v>161.18</v>
      </c>
      <c r="I119" s="1"/>
      <c r="J119" s="5">
        <f t="shared" si="58"/>
        <v>1.0055375059001555E-3</v>
      </c>
      <c r="K119" s="1"/>
      <c r="L119" s="1">
        <f t="shared" si="59"/>
        <v>57.900000000000006</v>
      </c>
      <c r="M119" s="1"/>
      <c r="N119" s="5">
        <f t="shared" si="60"/>
        <v>0.35922571038590395</v>
      </c>
      <c r="O119" s="14"/>
      <c r="P119" s="1">
        <f>SUM(OSRRefP22_10x_0)</f>
        <v>1533.56</v>
      </c>
      <c r="Q119" s="1"/>
      <c r="R119" s="5">
        <f t="shared" si="61"/>
        <v>6.8323735408435489E-4</v>
      </c>
      <c r="S119" s="1"/>
      <c r="T119" s="1">
        <f>SUM(OSRRefT22_10x_0)</f>
        <v>1128.26</v>
      </c>
      <c r="U119" s="1"/>
      <c r="V119" s="5">
        <f t="shared" si="62"/>
        <v>9.4747039738643101E-4</v>
      </c>
      <c r="W119" s="1"/>
      <c r="X119" s="1">
        <f t="shared" si="63"/>
        <v>405.29999999999995</v>
      </c>
      <c r="Y119" s="1"/>
      <c r="Z119" s="5">
        <f t="shared" si="64"/>
        <v>0.3592257103859039</v>
      </c>
    </row>
    <row r="120" spans="1:26" s="24" customFormat="1" hidden="1" outlineLevel="2" x14ac:dyDescent="0.3">
      <c r="A120" s="27"/>
      <c r="B120" s="11" t="str">
        <f>CONCATENATE("          ", "6314", " - ", "LIABILITY INSURANCE")</f>
        <v xml:space="preserve">          6314 - LIABILITY INSURANCE</v>
      </c>
      <c r="C120" s="11"/>
      <c r="D120" s="7">
        <v>219.08</v>
      </c>
      <c r="E120" s="2"/>
      <c r="F120" s="6">
        <f t="shared" si="57"/>
        <v>1.2453676733748713E-3</v>
      </c>
      <c r="G120" s="2"/>
      <c r="H120" s="7">
        <v>161.18</v>
      </c>
      <c r="I120" s="2"/>
      <c r="J120" s="6">
        <f t="shared" si="58"/>
        <v>1.0055375059001555E-3</v>
      </c>
      <c r="K120" s="2"/>
      <c r="L120" s="7">
        <f t="shared" si="59"/>
        <v>57.900000000000006</v>
      </c>
      <c r="M120" s="2"/>
      <c r="N120" s="6">
        <f t="shared" si="60"/>
        <v>0.35922571038590395</v>
      </c>
      <c r="O120" s="11"/>
      <c r="P120" s="7">
        <v>1533.56</v>
      </c>
      <c r="Q120" s="2"/>
      <c r="R120" s="6">
        <f t="shared" si="61"/>
        <v>6.8323735408435489E-4</v>
      </c>
      <c r="S120" s="2"/>
      <c r="T120" s="7">
        <v>1128.26</v>
      </c>
      <c r="U120" s="2"/>
      <c r="V120" s="6">
        <f t="shared" si="62"/>
        <v>9.4747039738643101E-4</v>
      </c>
      <c r="W120" s="2"/>
      <c r="X120" s="7">
        <f t="shared" si="63"/>
        <v>405.29999999999995</v>
      </c>
      <c r="Y120" s="2"/>
      <c r="Z120" s="6">
        <f t="shared" si="64"/>
        <v>0.3592257103859039</v>
      </c>
    </row>
    <row r="121" spans="1:26" s="29" customFormat="1" outlineLevel="1" collapsed="1" x14ac:dyDescent="0.3">
      <c r="A121" s="28"/>
      <c r="B121" s="14" t="str">
        <f>CONCATENATE("     ","Inventory Adjustment                              ")</f>
        <v xml:space="preserve">     Inventory Adjustment                              </v>
      </c>
      <c r="C121" s="14"/>
      <c r="D121" s="1">
        <f>SUM(OSRRefD22_11x_0)</f>
        <v>3450</v>
      </c>
      <c r="E121" s="1"/>
      <c r="F121" s="5">
        <f t="shared" si="57"/>
        <v>1.9611641743396503E-2</v>
      </c>
      <c r="G121" s="1"/>
      <c r="H121" s="1">
        <f>SUM(OSRRefH22_11x_0)</f>
        <v>1100</v>
      </c>
      <c r="I121" s="1"/>
      <c r="J121" s="5">
        <f t="shared" si="58"/>
        <v>6.8624597126825341E-3</v>
      </c>
      <c r="K121" s="1"/>
      <c r="L121" s="1">
        <f t="shared" si="59"/>
        <v>2350</v>
      </c>
      <c r="M121" s="1"/>
      <c r="N121" s="5">
        <f t="shared" si="60"/>
        <v>2.1363636363636362</v>
      </c>
      <c r="O121" s="14"/>
      <c r="P121" s="1">
        <f>SUM(OSRRefP22_11x_0)</f>
        <v>24150</v>
      </c>
      <c r="Q121" s="1"/>
      <c r="R121" s="5">
        <f t="shared" si="61"/>
        <v>1.075939780715275E-2</v>
      </c>
      <c r="S121" s="1"/>
      <c r="T121" s="1">
        <f>SUM(OSRRefT22_11x_0)</f>
        <v>7700</v>
      </c>
      <c r="U121" s="1"/>
      <c r="V121" s="5">
        <f t="shared" si="62"/>
        <v>6.4661709711197057E-3</v>
      </c>
      <c r="W121" s="1"/>
      <c r="X121" s="1">
        <f t="shared" si="63"/>
        <v>16450</v>
      </c>
      <c r="Y121" s="1"/>
      <c r="Z121" s="5">
        <f t="shared" si="64"/>
        <v>2.1363636363636362</v>
      </c>
    </row>
    <row r="122" spans="1:26" s="24" customFormat="1" hidden="1" outlineLevel="2" x14ac:dyDescent="0.3">
      <c r="A122" s="27"/>
      <c r="B122" s="11" t="str">
        <f>CONCATENATE("          ", "6408", " - ", "INVENTORY ADJUSTMENT")</f>
        <v xml:space="preserve">          6408 - INVENTORY ADJUSTMENT</v>
      </c>
      <c r="C122" s="11"/>
      <c r="D122" s="7">
        <v>3450</v>
      </c>
      <c r="E122" s="2"/>
      <c r="F122" s="6">
        <f t="shared" si="57"/>
        <v>1.9611641743396503E-2</v>
      </c>
      <c r="G122" s="2"/>
      <c r="H122" s="7">
        <v>1100</v>
      </c>
      <c r="I122" s="2"/>
      <c r="J122" s="6">
        <f t="shared" si="58"/>
        <v>6.8624597126825341E-3</v>
      </c>
      <c r="K122" s="2"/>
      <c r="L122" s="7">
        <f t="shared" si="59"/>
        <v>2350</v>
      </c>
      <c r="M122" s="2"/>
      <c r="N122" s="6">
        <f t="shared" si="60"/>
        <v>2.1363636363636362</v>
      </c>
      <c r="O122" s="11"/>
      <c r="P122" s="7">
        <v>24150</v>
      </c>
      <c r="Q122" s="2"/>
      <c r="R122" s="6">
        <f t="shared" si="61"/>
        <v>1.075939780715275E-2</v>
      </c>
      <c r="S122" s="2"/>
      <c r="T122" s="7">
        <v>7700</v>
      </c>
      <c r="U122" s="2"/>
      <c r="V122" s="6">
        <f t="shared" si="62"/>
        <v>6.4661709711197057E-3</v>
      </c>
      <c r="W122" s="2"/>
      <c r="X122" s="7">
        <f t="shared" si="63"/>
        <v>16450</v>
      </c>
      <c r="Y122" s="2"/>
      <c r="Z122" s="6">
        <f t="shared" si="64"/>
        <v>2.1363636363636362</v>
      </c>
    </row>
    <row r="123" spans="1:26" s="24" customFormat="1" hidden="1" outlineLevel="2" x14ac:dyDescent="0.3">
      <c r="A123" s="27"/>
      <c r="B123" s="11" t="str">
        <f>CONCATENATE("          ", "7741", " - ", "INV. SHRINKAGE-LOGO GIFTS")</f>
        <v xml:space="preserve">          7741 - INV. SHRINKAGE-LOGO GIFTS</v>
      </c>
      <c r="C123" s="11"/>
      <c r="D123" s="7"/>
      <c r="E123" s="2"/>
      <c r="F123" s="6">
        <f t="shared" si="57"/>
        <v>0</v>
      </c>
      <c r="G123" s="2"/>
      <c r="H123" s="7"/>
      <c r="I123" s="2"/>
      <c r="J123" s="6">
        <f t="shared" si="58"/>
        <v>0</v>
      </c>
      <c r="K123" s="2"/>
      <c r="L123" s="7">
        <f t="shared" si="59"/>
        <v>0</v>
      </c>
      <c r="M123" s="2"/>
      <c r="N123" s="6">
        <f t="shared" si="60"/>
        <v>0</v>
      </c>
      <c r="O123" s="11"/>
      <c r="P123" s="7"/>
      <c r="Q123" s="2"/>
      <c r="R123" s="6">
        <f t="shared" si="61"/>
        <v>0</v>
      </c>
      <c r="S123" s="2"/>
      <c r="T123" s="7">
        <v>0</v>
      </c>
      <c r="U123" s="2"/>
      <c r="V123" s="6">
        <f t="shared" si="62"/>
        <v>0</v>
      </c>
      <c r="W123" s="2"/>
      <c r="X123" s="7">
        <f t="shared" si="63"/>
        <v>0</v>
      </c>
      <c r="Y123" s="2"/>
      <c r="Z123" s="6">
        <f t="shared" si="64"/>
        <v>0</v>
      </c>
    </row>
    <row r="124" spans="1:26" s="29" customFormat="1" outlineLevel="1" collapsed="1" x14ac:dyDescent="0.3">
      <c r="A124" s="28"/>
      <c r="B124" s="14" t="str">
        <f>CONCATENATE("     ","Professional Services                             ")</f>
        <v xml:space="preserve">     Professional Services                             </v>
      </c>
      <c r="C124" s="14"/>
      <c r="D124" s="1">
        <f>SUM(OSRRefD22_12x_0)</f>
        <v>0</v>
      </c>
      <c r="E124" s="1"/>
      <c r="F124" s="5">
        <f t="shared" ref="F124:F131" si="65">IF(D$12=0,0,D124/D$12)</f>
        <v>0</v>
      </c>
      <c r="G124" s="1"/>
      <c r="H124" s="1">
        <f>SUM(OSRRefH22_12x_0)</f>
        <v>0</v>
      </c>
      <c r="I124" s="1"/>
      <c r="J124" s="5">
        <f t="shared" ref="J124:J131" si="66">IF(H$12=0,0,H124/H$12)</f>
        <v>0</v>
      </c>
      <c r="K124" s="1"/>
      <c r="L124" s="1">
        <f t="shared" ref="L124:L131" si="67">+D124-H124</f>
        <v>0</v>
      </c>
      <c r="M124" s="1"/>
      <c r="N124" s="5">
        <f t="shared" ref="N124:N131" si="68">IF(H124=0,0,L124/H124)</f>
        <v>0</v>
      </c>
      <c r="O124" s="14"/>
      <c r="P124" s="1">
        <f>SUM(OSRRefP22_12x_0)</f>
        <v>669.1</v>
      </c>
      <c r="Q124" s="1"/>
      <c r="R124" s="5">
        <f t="shared" ref="R124:R131" si="69">IF(P$12=0,0,P124/P$12)</f>
        <v>2.9809992019734597E-4</v>
      </c>
      <c r="S124" s="1"/>
      <c r="T124" s="1">
        <f>SUM(OSRRefT22_12x_0)</f>
        <v>0</v>
      </c>
      <c r="U124" s="1"/>
      <c r="V124" s="5">
        <f t="shared" ref="V124:V131" si="70">IF(T$12=0,0,T124/T$12)</f>
        <v>0</v>
      </c>
      <c r="W124" s="1"/>
      <c r="X124" s="1">
        <f t="shared" ref="X124:X131" si="71">+P124-T124</f>
        <v>669.1</v>
      </c>
      <c r="Y124" s="1"/>
      <c r="Z124" s="5">
        <f t="shared" ref="Z124:Z131" si="72">IF(T124=0,0,X124/T124)</f>
        <v>0</v>
      </c>
    </row>
    <row r="125" spans="1:26" s="24" customFormat="1" hidden="1" outlineLevel="2" x14ac:dyDescent="0.3">
      <c r="A125" s="27"/>
      <c r="B125" s="11" t="str">
        <f>CONCATENATE("          ", "6336", " - ", "PROFESSIONAL SERVICES")</f>
        <v xml:space="preserve">          6336 - PROFESSIONAL SERVICES</v>
      </c>
      <c r="C125" s="11"/>
      <c r="D125" s="7"/>
      <c r="E125" s="2"/>
      <c r="F125" s="6">
        <f t="shared" si="65"/>
        <v>0</v>
      </c>
      <c r="G125" s="2"/>
      <c r="H125" s="7"/>
      <c r="I125" s="2"/>
      <c r="J125" s="6">
        <f t="shared" si="66"/>
        <v>0</v>
      </c>
      <c r="K125" s="2"/>
      <c r="L125" s="7">
        <f t="shared" si="67"/>
        <v>0</v>
      </c>
      <c r="M125" s="2"/>
      <c r="N125" s="6">
        <f t="shared" si="68"/>
        <v>0</v>
      </c>
      <c r="O125" s="11"/>
      <c r="P125" s="7">
        <v>669.1</v>
      </c>
      <c r="Q125" s="2"/>
      <c r="R125" s="6">
        <f t="shared" si="69"/>
        <v>2.9809992019734597E-4</v>
      </c>
      <c r="S125" s="2"/>
      <c r="T125" s="7"/>
      <c r="U125" s="2"/>
      <c r="V125" s="6">
        <f t="shared" si="70"/>
        <v>0</v>
      </c>
      <c r="W125" s="2"/>
      <c r="X125" s="7">
        <f t="shared" si="71"/>
        <v>669.1</v>
      </c>
      <c r="Y125" s="2"/>
      <c r="Z125" s="6">
        <f t="shared" si="72"/>
        <v>0</v>
      </c>
    </row>
    <row r="126" spans="1:26" s="29" customFormat="1" outlineLevel="1" collapsed="1" x14ac:dyDescent="0.3">
      <c r="A126" s="28"/>
      <c r="B126" s="14" t="str">
        <f>CONCATENATE("     ","Rent                                              ")</f>
        <v xml:space="preserve">     Rent                                              </v>
      </c>
      <c r="C126" s="14"/>
      <c r="D126" s="1">
        <f>SUM(OSRRefD22_13x_0)</f>
        <v>6900</v>
      </c>
      <c r="E126" s="1"/>
      <c r="F126" s="5">
        <f t="shared" si="65"/>
        <v>3.9223283486793006E-2</v>
      </c>
      <c r="G126" s="1"/>
      <c r="H126" s="1">
        <f>SUM(OSRRefH22_13x_0)</f>
        <v>6900</v>
      </c>
      <c r="I126" s="1"/>
      <c r="J126" s="5">
        <f t="shared" si="66"/>
        <v>4.3046338197735894E-2</v>
      </c>
      <c r="K126" s="1"/>
      <c r="L126" s="1">
        <f t="shared" si="67"/>
        <v>0</v>
      </c>
      <c r="M126" s="1"/>
      <c r="N126" s="5">
        <f t="shared" si="68"/>
        <v>0</v>
      </c>
      <c r="O126" s="14"/>
      <c r="P126" s="1">
        <f>SUM(OSRRefP22_13x_0)</f>
        <v>48300</v>
      </c>
      <c r="Q126" s="1"/>
      <c r="R126" s="5">
        <f t="shared" si="69"/>
        <v>2.1518795614305499E-2</v>
      </c>
      <c r="S126" s="1"/>
      <c r="T126" s="1">
        <f>SUM(OSRRefT22_13x_0)</f>
        <v>48300</v>
      </c>
      <c r="U126" s="1"/>
      <c r="V126" s="5">
        <f t="shared" si="70"/>
        <v>4.0560527000659971E-2</v>
      </c>
      <c r="W126" s="1"/>
      <c r="X126" s="1">
        <f t="shared" si="71"/>
        <v>0</v>
      </c>
      <c r="Y126" s="1"/>
      <c r="Z126" s="5">
        <f t="shared" si="72"/>
        <v>0</v>
      </c>
    </row>
    <row r="127" spans="1:26" s="24" customFormat="1" hidden="1" outlineLevel="2" x14ac:dyDescent="0.3">
      <c r="A127" s="27"/>
      <c r="B127" s="11" t="str">
        <f>CONCATENATE("          ", "6273", " - ", "RENT")</f>
        <v xml:space="preserve">          6273 - RENT</v>
      </c>
      <c r="C127" s="11"/>
      <c r="D127" s="7">
        <v>6900</v>
      </c>
      <c r="E127" s="2"/>
      <c r="F127" s="6">
        <f t="shared" si="65"/>
        <v>3.9223283486793006E-2</v>
      </c>
      <c r="G127" s="2"/>
      <c r="H127" s="7">
        <v>6900</v>
      </c>
      <c r="I127" s="2"/>
      <c r="J127" s="6">
        <f t="shared" si="66"/>
        <v>4.3046338197735894E-2</v>
      </c>
      <c r="K127" s="2"/>
      <c r="L127" s="7">
        <f t="shared" si="67"/>
        <v>0</v>
      </c>
      <c r="M127" s="2"/>
      <c r="N127" s="6">
        <f t="shared" si="68"/>
        <v>0</v>
      </c>
      <c r="O127" s="11"/>
      <c r="P127" s="7">
        <v>48300</v>
      </c>
      <c r="Q127" s="2"/>
      <c r="R127" s="6">
        <f t="shared" si="69"/>
        <v>2.1518795614305499E-2</v>
      </c>
      <c r="S127" s="2"/>
      <c r="T127" s="7">
        <v>48300</v>
      </c>
      <c r="U127" s="2"/>
      <c r="V127" s="6">
        <f t="shared" si="70"/>
        <v>4.0560527000659971E-2</v>
      </c>
      <c r="W127" s="2"/>
      <c r="X127" s="7">
        <f t="shared" si="71"/>
        <v>0</v>
      </c>
      <c r="Y127" s="2"/>
      <c r="Z127" s="6">
        <f t="shared" si="72"/>
        <v>0</v>
      </c>
    </row>
    <row r="128" spans="1:26" s="29" customFormat="1" outlineLevel="1" collapsed="1" x14ac:dyDescent="0.3">
      <c r="A128" s="28"/>
      <c r="B128" s="14" t="str">
        <f>CONCATENATE("     ","Repair and Maintenance                            ")</f>
        <v xml:space="preserve">     Repair and Maintenance                            </v>
      </c>
      <c r="C128" s="14"/>
      <c r="D128" s="1">
        <f>SUM(OSRRefD22_14x_0)</f>
        <v>0</v>
      </c>
      <c r="E128" s="1"/>
      <c r="F128" s="5">
        <f t="shared" si="65"/>
        <v>0</v>
      </c>
      <c r="G128" s="1"/>
      <c r="H128" s="1">
        <f>SUM(OSRRefH22_14x_0)</f>
        <v>0</v>
      </c>
      <c r="I128" s="1"/>
      <c r="J128" s="5">
        <f t="shared" si="66"/>
        <v>0</v>
      </c>
      <c r="K128" s="1"/>
      <c r="L128" s="1">
        <f t="shared" si="67"/>
        <v>0</v>
      </c>
      <c r="M128" s="1"/>
      <c r="N128" s="5">
        <f t="shared" si="68"/>
        <v>0</v>
      </c>
      <c r="O128" s="14"/>
      <c r="P128" s="1">
        <f>SUM(OSRRefP22_14x_0)</f>
        <v>2970.9300000000003</v>
      </c>
      <c r="Q128" s="1"/>
      <c r="R128" s="5">
        <f t="shared" si="69"/>
        <v>1.3236197816647753E-3</v>
      </c>
      <c r="S128" s="1"/>
      <c r="T128" s="1">
        <f>SUM(OSRRefT22_14x_0)</f>
        <v>96.44</v>
      </c>
      <c r="U128" s="1"/>
      <c r="V128" s="5">
        <f t="shared" si="70"/>
        <v>8.098669200711486E-5</v>
      </c>
      <c r="W128" s="1"/>
      <c r="X128" s="1">
        <f t="shared" si="71"/>
        <v>2874.4900000000002</v>
      </c>
      <c r="Y128" s="1"/>
      <c r="Z128" s="5">
        <f t="shared" si="72"/>
        <v>29.805993363749483</v>
      </c>
    </row>
    <row r="129" spans="1:26" s="24" customFormat="1" hidden="1" outlineLevel="2" x14ac:dyDescent="0.3">
      <c r="A129" s="27"/>
      <c r="B129" s="11" t="str">
        <f>CONCATENATE("          ", "6372", " - ", "COMPUTER HARDWARE MAINTENANCE")</f>
        <v xml:space="preserve">          6372 - COMPUTER HARDWARE MAINTENANCE</v>
      </c>
      <c r="C129" s="11"/>
      <c r="D129" s="7"/>
      <c r="E129" s="2"/>
      <c r="F129" s="6">
        <f t="shared" si="65"/>
        <v>0</v>
      </c>
      <c r="G129" s="2"/>
      <c r="H129" s="7"/>
      <c r="I129" s="2"/>
      <c r="J129" s="6">
        <f t="shared" si="66"/>
        <v>0</v>
      </c>
      <c r="K129" s="2"/>
      <c r="L129" s="7">
        <f t="shared" si="67"/>
        <v>0</v>
      </c>
      <c r="M129" s="2"/>
      <c r="N129" s="6">
        <f t="shared" si="68"/>
        <v>0</v>
      </c>
      <c r="O129" s="11"/>
      <c r="P129" s="7"/>
      <c r="Q129" s="2"/>
      <c r="R129" s="6">
        <f t="shared" si="69"/>
        <v>0</v>
      </c>
      <c r="S129" s="2"/>
      <c r="T129" s="7">
        <v>0</v>
      </c>
      <c r="U129" s="2"/>
      <c r="V129" s="6">
        <f t="shared" si="70"/>
        <v>0</v>
      </c>
      <c r="W129" s="2"/>
      <c r="X129" s="7">
        <f t="shared" si="71"/>
        <v>0</v>
      </c>
      <c r="Y129" s="2"/>
      <c r="Z129" s="6">
        <f t="shared" si="72"/>
        <v>0</v>
      </c>
    </row>
    <row r="130" spans="1:26" s="24" customFormat="1" hidden="1" outlineLevel="2" x14ac:dyDescent="0.3">
      <c r="A130" s="27"/>
      <c r="B130" s="11" t="str">
        <f>CONCATENATE("          ", "6373", " - ", "MAINTENANCE CONTRACTS")</f>
        <v xml:space="preserve">          6373 - MAINTENANCE CONTRACTS</v>
      </c>
      <c r="C130" s="11"/>
      <c r="D130" s="7"/>
      <c r="E130" s="2"/>
      <c r="F130" s="6">
        <f t="shared" si="65"/>
        <v>0</v>
      </c>
      <c r="G130" s="2"/>
      <c r="H130" s="7"/>
      <c r="I130" s="2"/>
      <c r="J130" s="6">
        <f t="shared" si="66"/>
        <v>0</v>
      </c>
      <c r="K130" s="2"/>
      <c r="L130" s="7">
        <f t="shared" si="67"/>
        <v>0</v>
      </c>
      <c r="M130" s="2"/>
      <c r="N130" s="6">
        <f t="shared" si="68"/>
        <v>0</v>
      </c>
      <c r="O130" s="11"/>
      <c r="P130" s="7">
        <v>469.53</v>
      </c>
      <c r="Q130" s="2"/>
      <c r="R130" s="6">
        <f t="shared" si="69"/>
        <v>2.0918675165186048E-4</v>
      </c>
      <c r="S130" s="2"/>
      <c r="T130" s="7">
        <v>96.44</v>
      </c>
      <c r="U130" s="2"/>
      <c r="V130" s="6">
        <f t="shared" si="70"/>
        <v>8.098669200711486E-5</v>
      </c>
      <c r="W130" s="2"/>
      <c r="X130" s="7">
        <f t="shared" si="71"/>
        <v>373.09</v>
      </c>
      <c r="Y130" s="2"/>
      <c r="Z130" s="6">
        <f t="shared" si="72"/>
        <v>3.8686229780174202</v>
      </c>
    </row>
    <row r="131" spans="1:26" s="24" customFormat="1" hidden="1" outlineLevel="2" x14ac:dyDescent="0.3">
      <c r="A131" s="27"/>
      <c r="B131" s="11" t="str">
        <f>CONCATENATE("          ", "6375", " - ", "OUTSIDE REPAIRS &amp; MAINTENANCE")</f>
        <v xml:space="preserve">          6375 - OUTSIDE REPAIRS &amp; MAINTENANCE</v>
      </c>
      <c r="C131" s="11"/>
      <c r="D131" s="7"/>
      <c r="E131" s="2"/>
      <c r="F131" s="6">
        <f t="shared" si="65"/>
        <v>0</v>
      </c>
      <c r="G131" s="2"/>
      <c r="H131" s="7"/>
      <c r="I131" s="2"/>
      <c r="J131" s="6">
        <f t="shared" si="66"/>
        <v>0</v>
      </c>
      <c r="K131" s="2"/>
      <c r="L131" s="7">
        <f t="shared" si="67"/>
        <v>0</v>
      </c>
      <c r="M131" s="2"/>
      <c r="N131" s="6">
        <f t="shared" si="68"/>
        <v>0</v>
      </c>
      <c r="O131" s="11"/>
      <c r="P131" s="7">
        <v>2501.4</v>
      </c>
      <c r="Q131" s="2"/>
      <c r="R131" s="6">
        <f t="shared" si="69"/>
        <v>1.1144330300129146E-3</v>
      </c>
      <c r="S131" s="2"/>
      <c r="T131" s="7"/>
      <c r="U131" s="2"/>
      <c r="V131" s="6">
        <f t="shared" si="70"/>
        <v>0</v>
      </c>
      <c r="W131" s="2"/>
      <c r="X131" s="7">
        <f t="shared" si="71"/>
        <v>2501.4</v>
      </c>
      <c r="Y131" s="2"/>
      <c r="Z131" s="6">
        <f t="shared" si="72"/>
        <v>0</v>
      </c>
    </row>
    <row r="132" spans="1:26" s="29" customFormat="1" outlineLevel="1" collapsed="1" x14ac:dyDescent="0.3">
      <c r="A132" s="28"/>
      <c r="B132" s="14" t="str">
        <f>CONCATENATE("     ","Royalty &amp; Commissions                             ")</f>
        <v xml:space="preserve">     Royalty &amp; Commissions                             </v>
      </c>
      <c r="C132" s="14"/>
      <c r="D132" s="1">
        <f>SUM(OSRRefD22_15x_0)</f>
        <v>23450.06</v>
      </c>
      <c r="E132" s="1"/>
      <c r="F132" s="5">
        <f t="shared" ref="F132:F134" si="73">IF(D$12=0,0,D132/D$12)</f>
        <v>0.13330265958873988</v>
      </c>
      <c r="G132" s="1"/>
      <c r="H132" s="1">
        <f>SUM(OSRRefH22_15x_0)</f>
        <v>7785.78</v>
      </c>
      <c r="I132" s="1"/>
      <c r="J132" s="5">
        <f t="shared" ref="J132:J134" si="74">IF(H$12=0,0,H132/H$12)</f>
        <v>4.8572365074372195E-2</v>
      </c>
      <c r="K132" s="1"/>
      <c r="L132" s="1">
        <f t="shared" ref="L132:L134" si="75">+D132-H132</f>
        <v>15664.280000000002</v>
      </c>
      <c r="M132" s="1"/>
      <c r="N132" s="5">
        <f t="shared" ref="N132:N134" si="76">IF(H132=0,0,L132/H132)</f>
        <v>2.0119088903102842</v>
      </c>
      <c r="O132" s="14"/>
      <c r="P132" s="1">
        <f>SUM(OSRRefP22_15x_0)</f>
        <v>39582.850000000006</v>
      </c>
      <c r="Q132" s="1"/>
      <c r="R132" s="5">
        <f t="shared" ref="R132:R134" si="77">IF(P$12=0,0,P132/P$12)</f>
        <v>1.7635098529642082E-2</v>
      </c>
      <c r="S132" s="1"/>
      <c r="T132" s="1">
        <f>SUM(OSRRefT22_15x_0)</f>
        <v>26197.58</v>
      </c>
      <c r="U132" s="1"/>
      <c r="V132" s="5">
        <f t="shared" ref="V132:V134" si="78">IF(T$12=0,0,T132/T$12)</f>
        <v>2.1999744325920285E-2</v>
      </c>
      <c r="W132" s="1"/>
      <c r="X132" s="1">
        <f t="shared" ref="X132:X134" si="79">+P132-T132</f>
        <v>13385.270000000004</v>
      </c>
      <c r="Y132" s="1"/>
      <c r="Z132" s="5">
        <f t="shared" ref="Z132:Z134" si="80">IF(T132=0,0,X132/T132)</f>
        <v>0.51093536120511907</v>
      </c>
    </row>
    <row r="133" spans="1:26" s="24" customFormat="1" hidden="1" outlineLevel="2" x14ac:dyDescent="0.3">
      <c r="A133" s="27"/>
      <c r="B133" s="11" t="str">
        <f>CONCATENATE("          ", "6253", " - ", "ROYALTY DUE ATHLETICS-LRG")</f>
        <v xml:space="preserve">          6253 - ROYALTY DUE ATHLETICS-LRG</v>
      </c>
      <c r="C133" s="11"/>
      <c r="D133" s="7">
        <v>16060.87</v>
      </c>
      <c r="E133" s="2"/>
      <c r="F133" s="6">
        <f t="shared" si="73"/>
        <v>9.1298558993410037E-2</v>
      </c>
      <c r="G133" s="2"/>
      <c r="H133" s="7">
        <v>7785.78</v>
      </c>
      <c r="I133" s="2"/>
      <c r="J133" s="6">
        <f t="shared" si="74"/>
        <v>4.8572365074372195E-2</v>
      </c>
      <c r="K133" s="2"/>
      <c r="L133" s="7">
        <f t="shared" si="75"/>
        <v>8275.09</v>
      </c>
      <c r="M133" s="2"/>
      <c r="N133" s="6">
        <f t="shared" si="76"/>
        <v>1.0628466255147204</v>
      </c>
      <c r="O133" s="11"/>
      <c r="P133" s="7">
        <v>39221.160000000003</v>
      </c>
      <c r="Q133" s="2"/>
      <c r="R133" s="6">
        <f t="shared" si="77"/>
        <v>1.7473957055817276E-2</v>
      </c>
      <c r="S133" s="2"/>
      <c r="T133" s="7">
        <v>26197.58</v>
      </c>
      <c r="U133" s="2"/>
      <c r="V133" s="6">
        <f t="shared" si="78"/>
        <v>2.1999744325920285E-2</v>
      </c>
      <c r="W133" s="2"/>
      <c r="X133" s="7">
        <f t="shared" si="79"/>
        <v>13023.580000000002</v>
      </c>
      <c r="Y133" s="2"/>
      <c r="Z133" s="6">
        <f t="shared" si="80"/>
        <v>0.49712912414047405</v>
      </c>
    </row>
    <row r="134" spans="1:26" s="24" customFormat="1" hidden="1" outlineLevel="2" x14ac:dyDescent="0.3">
      <c r="A134" s="27"/>
      <c r="B134" s="11" t="str">
        <f>CONCATENATE("          ", "6254", " - ", "ROYALTY &amp; COMMISSIONS")</f>
        <v xml:space="preserve">          6254 - ROYALTY &amp; COMMISSIONS</v>
      </c>
      <c r="C134" s="11"/>
      <c r="D134" s="7">
        <v>7389.19</v>
      </c>
      <c r="E134" s="2"/>
      <c r="F134" s="6">
        <f t="shared" si="73"/>
        <v>4.2004100595329857E-2</v>
      </c>
      <c r="G134" s="2"/>
      <c r="H134" s="7"/>
      <c r="I134" s="2"/>
      <c r="J134" s="6">
        <f t="shared" si="74"/>
        <v>0</v>
      </c>
      <c r="K134" s="2"/>
      <c r="L134" s="7">
        <f t="shared" si="75"/>
        <v>7389.19</v>
      </c>
      <c r="M134" s="2"/>
      <c r="N134" s="6">
        <f t="shared" si="76"/>
        <v>0</v>
      </c>
      <c r="O134" s="11"/>
      <c r="P134" s="7">
        <v>361.69</v>
      </c>
      <c r="Q134" s="2"/>
      <c r="R134" s="6">
        <f t="shared" si="77"/>
        <v>1.6114147382480655E-4</v>
      </c>
      <c r="S134" s="2"/>
      <c r="T134" s="7"/>
      <c r="U134" s="2"/>
      <c r="V134" s="6">
        <f t="shared" si="78"/>
        <v>0</v>
      </c>
      <c r="W134" s="2"/>
      <c r="X134" s="7">
        <f t="shared" si="79"/>
        <v>361.69</v>
      </c>
      <c r="Y134" s="2"/>
      <c r="Z134" s="6">
        <f t="shared" si="80"/>
        <v>0</v>
      </c>
    </row>
    <row r="135" spans="1:26" s="29" customFormat="1" outlineLevel="1" collapsed="1" x14ac:dyDescent="0.3">
      <c r="A135" s="28"/>
      <c r="B135" s="14" t="str">
        <f>CONCATENATE("     ","Services                                          ")</f>
        <v xml:space="preserve">     Services                                          </v>
      </c>
      <c r="C135" s="14"/>
      <c r="D135" s="1">
        <f>SUM(OSRRefD22_16x_0)</f>
        <v>101.98999999999998</v>
      </c>
      <c r="E135" s="1"/>
      <c r="F135" s="5">
        <f t="shared" ref="F135:F138" si="81">IF(D$12=0,0,D135/D$12)</f>
        <v>5.7976560620550982E-4</v>
      </c>
      <c r="G135" s="1"/>
      <c r="H135" s="1">
        <f>SUM(OSRRefH22_16x_0)</f>
        <v>81.84</v>
      </c>
      <c r="I135" s="1"/>
      <c r="J135" s="5">
        <f t="shared" ref="J135:J138" si="82">IF(H$12=0,0,H135/H$12)</f>
        <v>5.1056700262358057E-4</v>
      </c>
      <c r="K135" s="1"/>
      <c r="L135" s="1">
        <f t="shared" ref="L135:L138" si="83">+D135-H135</f>
        <v>20.149999999999977</v>
      </c>
      <c r="M135" s="1"/>
      <c r="N135" s="5">
        <f t="shared" ref="N135:N138" si="84">IF(H135=0,0,L135/H135)</f>
        <v>0.24621212121212091</v>
      </c>
      <c r="O135" s="14"/>
      <c r="P135" s="1">
        <f>SUM(OSRRefP22_16x_0)</f>
        <v>1131.9100000000001</v>
      </c>
      <c r="Q135" s="1"/>
      <c r="R135" s="5">
        <f t="shared" ref="R135:R138" si="85">IF(P$12=0,0,P135/P$12)</f>
        <v>5.0429275245939009E-4</v>
      </c>
      <c r="S135" s="1"/>
      <c r="T135" s="1">
        <f>SUM(OSRRefT22_16x_0)</f>
        <v>274.65999999999997</v>
      </c>
      <c r="U135" s="1"/>
      <c r="V135" s="5">
        <f t="shared" ref="V135:V138" si="86">IF(T$12=0,0,T135/T$12)</f>
        <v>2.3064915830230365E-4</v>
      </c>
      <c r="W135" s="1"/>
      <c r="X135" s="1">
        <f t="shared" ref="X135:X138" si="87">+P135-T135</f>
        <v>857.25000000000011</v>
      </c>
      <c r="Y135" s="1"/>
      <c r="Z135" s="5">
        <f t="shared" ref="Z135:Z138" si="88">IF(T135=0,0,X135/T135)</f>
        <v>3.1211315808636138</v>
      </c>
    </row>
    <row r="136" spans="1:26" s="24" customFormat="1" hidden="1" outlineLevel="2" x14ac:dyDescent="0.3">
      <c r="A136" s="27"/>
      <c r="B136" s="11" t="str">
        <f>CONCATENATE("          ", "6283", " - ", "PLANT SERVICE")</f>
        <v xml:space="preserve">          6283 - PLANT SERVICE</v>
      </c>
      <c r="C136" s="11"/>
      <c r="D136" s="7"/>
      <c r="E136" s="2"/>
      <c r="F136" s="6">
        <f t="shared" si="81"/>
        <v>0</v>
      </c>
      <c r="G136" s="2"/>
      <c r="H136" s="7"/>
      <c r="I136" s="2"/>
      <c r="J136" s="6">
        <f t="shared" si="82"/>
        <v>0</v>
      </c>
      <c r="K136" s="2"/>
      <c r="L136" s="7">
        <f t="shared" si="83"/>
        <v>0</v>
      </c>
      <c r="M136" s="2"/>
      <c r="N136" s="6">
        <f t="shared" si="84"/>
        <v>0</v>
      </c>
      <c r="O136" s="11"/>
      <c r="P136" s="7"/>
      <c r="Q136" s="2"/>
      <c r="R136" s="6">
        <f t="shared" si="85"/>
        <v>0</v>
      </c>
      <c r="S136" s="2"/>
      <c r="T136" s="7">
        <v>41.31</v>
      </c>
      <c r="U136" s="2"/>
      <c r="V136" s="6">
        <f t="shared" si="86"/>
        <v>3.4690587378825329E-5</v>
      </c>
      <c r="W136" s="2"/>
      <c r="X136" s="7">
        <f t="shared" si="87"/>
        <v>-41.31</v>
      </c>
      <c r="Y136" s="2"/>
      <c r="Z136" s="6">
        <f t="shared" si="88"/>
        <v>-1</v>
      </c>
    </row>
    <row r="137" spans="1:26" s="24" customFormat="1" hidden="1" outlineLevel="2" x14ac:dyDescent="0.3">
      <c r="A137" s="27"/>
      <c r="B137" s="11" t="str">
        <f>CONCATENATE("          ", "6284", " - ", "TRASH REMOVAL EXPENSE")</f>
        <v xml:space="preserve">          6284 - TRASH REMOVAL EXPENSE</v>
      </c>
      <c r="C137" s="11"/>
      <c r="D137" s="7">
        <v>149.69999999999999</v>
      </c>
      <c r="E137" s="2"/>
      <c r="F137" s="6">
        <f t="shared" si="81"/>
        <v>8.5097471564824824E-4</v>
      </c>
      <c r="G137" s="2"/>
      <c r="H137" s="7">
        <v>142.57</v>
      </c>
      <c r="I137" s="2"/>
      <c r="J137" s="6">
        <f t="shared" si="82"/>
        <v>8.8943716476104441E-4</v>
      </c>
      <c r="K137" s="2"/>
      <c r="L137" s="7">
        <f t="shared" si="83"/>
        <v>7.1299999999999955</v>
      </c>
      <c r="M137" s="2"/>
      <c r="N137" s="6">
        <f t="shared" si="84"/>
        <v>5.0010521147506461E-2</v>
      </c>
      <c r="O137" s="11"/>
      <c r="P137" s="7">
        <v>1040.77</v>
      </c>
      <c r="Q137" s="2"/>
      <c r="R137" s="6">
        <f t="shared" si="85"/>
        <v>4.6368772073500483E-4</v>
      </c>
      <c r="S137" s="2"/>
      <c r="T137" s="7">
        <v>1013.01</v>
      </c>
      <c r="U137" s="2"/>
      <c r="V137" s="6">
        <f t="shared" si="86"/>
        <v>8.5068777343558092E-4</v>
      </c>
      <c r="W137" s="2"/>
      <c r="X137" s="7">
        <f t="shared" si="87"/>
        <v>27.759999999999991</v>
      </c>
      <c r="Y137" s="2"/>
      <c r="Z137" s="6">
        <f t="shared" si="88"/>
        <v>2.7403480715886309E-2</v>
      </c>
    </row>
    <row r="138" spans="1:26" s="24" customFormat="1" hidden="1" outlineLevel="2" x14ac:dyDescent="0.3">
      <c r="A138" s="27"/>
      <c r="B138" s="11" t="str">
        <f>CONCATENATE("          ", "6285", " - ", "JANITORIAL SERVICES")</f>
        <v xml:space="preserve">          6285 - JANITORIAL SERVICES</v>
      </c>
      <c r="C138" s="11"/>
      <c r="D138" s="7">
        <v>-47.71</v>
      </c>
      <c r="E138" s="2"/>
      <c r="F138" s="6">
        <f t="shared" si="81"/>
        <v>-2.712091094427383E-4</v>
      </c>
      <c r="G138" s="2"/>
      <c r="H138" s="7">
        <v>-60.73</v>
      </c>
      <c r="I138" s="2"/>
      <c r="J138" s="6">
        <f t="shared" si="82"/>
        <v>-3.7887016213746389E-4</v>
      </c>
      <c r="K138" s="2"/>
      <c r="L138" s="7">
        <f t="shared" si="83"/>
        <v>13.019999999999996</v>
      </c>
      <c r="M138" s="2"/>
      <c r="N138" s="6">
        <f t="shared" si="84"/>
        <v>-0.2143915692409023</v>
      </c>
      <c r="O138" s="11"/>
      <c r="P138" s="7">
        <v>91.14</v>
      </c>
      <c r="Q138" s="2"/>
      <c r="R138" s="6">
        <f t="shared" si="85"/>
        <v>4.0605031724385158E-5</v>
      </c>
      <c r="S138" s="2"/>
      <c r="T138" s="7">
        <v>-779.66</v>
      </c>
      <c r="U138" s="2"/>
      <c r="V138" s="6">
        <f t="shared" si="86"/>
        <v>-6.5472920251210252E-4</v>
      </c>
      <c r="W138" s="2"/>
      <c r="X138" s="7">
        <f t="shared" si="87"/>
        <v>870.8</v>
      </c>
      <c r="Y138" s="2"/>
      <c r="Z138" s="6">
        <f t="shared" si="88"/>
        <v>-1.1168971089962292</v>
      </c>
    </row>
    <row r="139" spans="1:26" s="29" customFormat="1" outlineLevel="1" collapsed="1" x14ac:dyDescent="0.3">
      <c r="A139" s="28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SUM(OSRRefD22_17x_0)</f>
        <v>0</v>
      </c>
      <c r="E139" s="1"/>
      <c r="F139" s="5">
        <f t="shared" ref="F139:F141" si="89">IF(D$12=0,0,D139/D$12)</f>
        <v>0</v>
      </c>
      <c r="G139" s="1"/>
      <c r="H139" s="1">
        <f>SUM(OSRRefH22_17x_0)</f>
        <v>208.7</v>
      </c>
      <c r="I139" s="1"/>
      <c r="J139" s="5">
        <f t="shared" ref="J139:J141" si="90">IF(H$12=0,0,H139/H$12)</f>
        <v>1.3019957654880408E-3</v>
      </c>
      <c r="K139" s="1"/>
      <c r="L139" s="1">
        <f t="shared" ref="L139:L141" si="91">+D139-H139</f>
        <v>-208.7</v>
      </c>
      <c r="M139" s="1"/>
      <c r="N139" s="5">
        <f t="shared" ref="N139:N141" si="92">IF(H139=0,0,L139/H139)</f>
        <v>-1</v>
      </c>
      <c r="O139" s="14"/>
      <c r="P139" s="1">
        <f>SUM(OSRRefP22_17x_0)</f>
        <v>0</v>
      </c>
      <c r="Q139" s="1"/>
      <c r="R139" s="5">
        <f t="shared" ref="R139:R141" si="93">IF(P$12=0,0,P139/P$12)</f>
        <v>0</v>
      </c>
      <c r="S139" s="1"/>
      <c r="T139" s="1">
        <f>SUM(OSRRefT22_17x_0)</f>
        <v>-67.299999999999955</v>
      </c>
      <c r="U139" s="1"/>
      <c r="V139" s="5">
        <f t="shared" ref="V139:V141" si="94">IF(T$12=0,0,T139/T$12)</f>
        <v>-5.6516013812513754E-5</v>
      </c>
      <c r="W139" s="1"/>
      <c r="X139" s="1">
        <f t="shared" ref="X139:X141" si="95">+P139-T139</f>
        <v>67.299999999999955</v>
      </c>
      <c r="Y139" s="1"/>
      <c r="Z139" s="5">
        <f t="shared" ref="Z139:Z141" si="96">IF(T139=0,0,X139/T139)</f>
        <v>-1</v>
      </c>
    </row>
    <row r="140" spans="1:26" s="24" customFormat="1" hidden="1" outlineLevel="2" x14ac:dyDescent="0.3">
      <c r="A140" s="27"/>
      <c r="B140" s="11" t="str">
        <f>CONCATENATE("          ", "6258", " - ", "MEMBERSHIP DUES")</f>
        <v xml:space="preserve">          6258 - MEMBERSHIP DUES</v>
      </c>
      <c r="C140" s="11"/>
      <c r="D140" s="7"/>
      <c r="E140" s="2"/>
      <c r="F140" s="6">
        <f t="shared" si="89"/>
        <v>0</v>
      </c>
      <c r="G140" s="2"/>
      <c r="H140" s="7">
        <v>133.69999999999999</v>
      </c>
      <c r="I140" s="2"/>
      <c r="J140" s="6">
        <f t="shared" si="90"/>
        <v>8.341007850778679E-4</v>
      </c>
      <c r="K140" s="2"/>
      <c r="L140" s="7">
        <f t="shared" si="91"/>
        <v>-133.69999999999999</v>
      </c>
      <c r="M140" s="2"/>
      <c r="N140" s="6">
        <f t="shared" si="92"/>
        <v>-1</v>
      </c>
      <c r="O140" s="11"/>
      <c r="P140" s="7"/>
      <c r="Q140" s="2"/>
      <c r="R140" s="6">
        <f t="shared" si="93"/>
        <v>0</v>
      </c>
      <c r="S140" s="2"/>
      <c r="T140" s="7">
        <v>-368.03</v>
      </c>
      <c r="U140" s="2"/>
      <c r="V140" s="6">
        <f t="shared" si="94"/>
        <v>-3.0905777954560846E-4</v>
      </c>
      <c r="W140" s="2"/>
      <c r="X140" s="7">
        <f t="shared" si="95"/>
        <v>368.03</v>
      </c>
      <c r="Y140" s="2"/>
      <c r="Z140" s="6">
        <f t="shared" si="96"/>
        <v>-1</v>
      </c>
    </row>
    <row r="141" spans="1:26" s="24" customFormat="1" hidden="1" outlineLevel="2" x14ac:dyDescent="0.3">
      <c r="A141" s="27"/>
      <c r="B141" s="11" t="str">
        <f>CONCATENATE("          ", "6275", " - ", "SUBSCRIPTIONS")</f>
        <v xml:space="preserve">          6275 - SUBSCRIPTIONS</v>
      </c>
      <c r="C141" s="11"/>
      <c r="D141" s="7"/>
      <c r="E141" s="2"/>
      <c r="F141" s="6">
        <f t="shared" si="89"/>
        <v>0</v>
      </c>
      <c r="G141" s="2"/>
      <c r="H141" s="7">
        <v>75</v>
      </c>
      <c r="I141" s="2"/>
      <c r="J141" s="6">
        <f t="shared" si="90"/>
        <v>4.6789498041017275E-4</v>
      </c>
      <c r="K141" s="2"/>
      <c r="L141" s="7">
        <f t="shared" si="91"/>
        <v>-75</v>
      </c>
      <c r="M141" s="2"/>
      <c r="N141" s="6">
        <f t="shared" si="92"/>
        <v>-1</v>
      </c>
      <c r="O141" s="11"/>
      <c r="P141" s="7"/>
      <c r="Q141" s="2"/>
      <c r="R141" s="6">
        <f t="shared" si="93"/>
        <v>0</v>
      </c>
      <c r="S141" s="2"/>
      <c r="T141" s="7">
        <v>300.73</v>
      </c>
      <c r="U141" s="2"/>
      <c r="V141" s="6">
        <f t="shared" si="94"/>
        <v>2.5254176573309472E-4</v>
      </c>
      <c r="W141" s="2"/>
      <c r="X141" s="7">
        <f t="shared" si="95"/>
        <v>-300.73</v>
      </c>
      <c r="Y141" s="2"/>
      <c r="Z141" s="6">
        <f t="shared" si="96"/>
        <v>-1</v>
      </c>
    </row>
    <row r="142" spans="1:26" s="29" customFormat="1" outlineLevel="1" collapsed="1" x14ac:dyDescent="0.3">
      <c r="A142" s="28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SUM(OSRRefD22_18x_0)</f>
        <v>137.04</v>
      </c>
      <c r="E142" s="1"/>
      <c r="F142" s="5">
        <f t="shared" ref="F142:F148" si="97">IF(D$12=0,0,D142/D$12)</f>
        <v>7.7900851725074102E-4</v>
      </c>
      <c r="G142" s="1"/>
      <c r="H142" s="1">
        <f>SUM(OSRRefH22_18x_0)</f>
        <v>1606.65</v>
      </c>
      <c r="I142" s="1"/>
      <c r="J142" s="5">
        <f t="shared" ref="J142:J148" si="98">IF(H$12=0,0,H142/H$12)</f>
        <v>1.0023246270346722E-2</v>
      </c>
      <c r="K142" s="1"/>
      <c r="L142" s="1">
        <f t="shared" ref="L142:L148" si="99">+D142-H142</f>
        <v>-1469.6100000000001</v>
      </c>
      <c r="M142" s="1"/>
      <c r="N142" s="5">
        <f t="shared" ref="N142:N148" si="100">IF(H142=0,0,L142/H142)</f>
        <v>-0.9147045093828774</v>
      </c>
      <c r="O142" s="14"/>
      <c r="P142" s="1">
        <f>SUM(OSRRefP22_18x_0)</f>
        <v>8723.6</v>
      </c>
      <c r="Q142" s="1"/>
      <c r="R142" s="5">
        <f t="shared" ref="R142:R148" si="101">IF(P$12=0,0,P142/P$12)</f>
        <v>3.8865707126491816E-3</v>
      </c>
      <c r="S142" s="1"/>
      <c r="T142" s="1">
        <f>SUM(OSRRefT22_18x_0)</f>
        <v>3851.1400000000003</v>
      </c>
      <c r="U142" s="1"/>
      <c r="V142" s="5">
        <f t="shared" ref="V142:V148" si="102">IF(T$12=0,0,T142/T$12)</f>
        <v>3.2340428147685642E-3</v>
      </c>
      <c r="W142" s="1"/>
      <c r="X142" s="1">
        <f t="shared" ref="X142:X148" si="103">+P142-T142</f>
        <v>4872.46</v>
      </c>
      <c r="Y142" s="1"/>
      <c r="Z142" s="5">
        <f t="shared" ref="Z142:Z148" si="104">IF(T142=0,0,X142/T142)</f>
        <v>1.2651993955036689</v>
      </c>
    </row>
    <row r="143" spans="1:26" s="24" customFormat="1" hidden="1" outlineLevel="2" x14ac:dyDescent="0.3">
      <c r="A143" s="27"/>
      <c r="B143" s="11" t="str">
        <f>CONCATENATE("          ", "6234", " - ", "EXPENDABLE SUPPLIES &amp; EQUIPMEN")</f>
        <v xml:space="preserve">          6234 - EXPENDABLE SUPPLIES &amp; EQUIPMEN</v>
      </c>
      <c r="C143" s="11"/>
      <c r="D143" s="7"/>
      <c r="E143" s="2"/>
      <c r="F143" s="6">
        <f t="shared" si="97"/>
        <v>0</v>
      </c>
      <c r="G143" s="2"/>
      <c r="H143" s="7">
        <v>396.5</v>
      </c>
      <c r="I143" s="2"/>
      <c r="J143" s="6">
        <f t="shared" si="98"/>
        <v>2.4736047964351135E-3</v>
      </c>
      <c r="K143" s="2"/>
      <c r="L143" s="7">
        <f t="shared" si="99"/>
        <v>-396.5</v>
      </c>
      <c r="M143" s="2"/>
      <c r="N143" s="6">
        <f t="shared" si="100"/>
        <v>-1</v>
      </c>
      <c r="O143" s="11"/>
      <c r="P143" s="7"/>
      <c r="Q143" s="2"/>
      <c r="R143" s="6">
        <f t="shared" si="101"/>
        <v>0</v>
      </c>
      <c r="S143" s="2"/>
      <c r="T143" s="7">
        <v>396.5</v>
      </c>
      <c r="U143" s="2"/>
      <c r="V143" s="6">
        <f t="shared" si="102"/>
        <v>3.3296581688947572E-4</v>
      </c>
      <c r="W143" s="2"/>
      <c r="X143" s="7">
        <f t="shared" si="103"/>
        <v>-396.5</v>
      </c>
      <c r="Y143" s="2"/>
      <c r="Z143" s="6">
        <f t="shared" si="104"/>
        <v>-1</v>
      </c>
    </row>
    <row r="144" spans="1:26" s="24" customFormat="1" hidden="1" outlineLevel="2" x14ac:dyDescent="0.3">
      <c r="A144" s="27"/>
      <c r="B144" s="11" t="str">
        <f>CONCATENATE("          ", "6235", " - ", "COVID-19 EXPENSES")</f>
        <v xml:space="preserve">          6235 - COVID-19 EXPENSES</v>
      </c>
      <c r="C144" s="11"/>
      <c r="D144" s="7"/>
      <c r="E144" s="2"/>
      <c r="F144" s="6">
        <f t="shared" si="97"/>
        <v>0</v>
      </c>
      <c r="G144" s="2"/>
      <c r="H144" s="7"/>
      <c r="I144" s="2"/>
      <c r="J144" s="6">
        <f t="shared" si="98"/>
        <v>0</v>
      </c>
      <c r="K144" s="2"/>
      <c r="L144" s="7">
        <f t="shared" si="99"/>
        <v>0</v>
      </c>
      <c r="M144" s="2"/>
      <c r="N144" s="6">
        <f t="shared" si="100"/>
        <v>0</v>
      </c>
      <c r="O144" s="11"/>
      <c r="P144" s="7"/>
      <c r="Q144" s="2"/>
      <c r="R144" s="6">
        <f t="shared" si="101"/>
        <v>0</v>
      </c>
      <c r="S144" s="2"/>
      <c r="T144" s="7">
        <v>1292.1300000000001</v>
      </c>
      <c r="U144" s="2"/>
      <c r="V144" s="6">
        <f t="shared" si="102"/>
        <v>1.0850822723263514E-3</v>
      </c>
      <c r="W144" s="2"/>
      <c r="X144" s="7">
        <f t="shared" si="103"/>
        <v>-1292.1300000000001</v>
      </c>
      <c r="Y144" s="2"/>
      <c r="Z144" s="6">
        <f t="shared" si="104"/>
        <v>-1</v>
      </c>
    </row>
    <row r="145" spans="1:26" s="24" customFormat="1" hidden="1" outlineLevel="2" x14ac:dyDescent="0.3">
      <c r="A145" s="27"/>
      <c r="B145" s="11" t="str">
        <f>CONCATENATE("          ", "6237", " - ", "JANITORIAL SUPPLIES")</f>
        <v xml:space="preserve">          6237 - JANITORIAL SUPPLIES</v>
      </c>
      <c r="C145" s="11"/>
      <c r="D145" s="7"/>
      <c r="E145" s="2"/>
      <c r="F145" s="6">
        <f t="shared" si="97"/>
        <v>0</v>
      </c>
      <c r="G145" s="2"/>
      <c r="H145" s="7"/>
      <c r="I145" s="2"/>
      <c r="J145" s="6">
        <f t="shared" si="98"/>
        <v>0</v>
      </c>
      <c r="K145" s="2"/>
      <c r="L145" s="7">
        <f t="shared" si="99"/>
        <v>0</v>
      </c>
      <c r="M145" s="2"/>
      <c r="N145" s="6">
        <f t="shared" si="100"/>
        <v>0</v>
      </c>
      <c r="O145" s="11"/>
      <c r="P145" s="7">
        <v>77.17</v>
      </c>
      <c r="Q145" s="2"/>
      <c r="R145" s="6">
        <f t="shared" si="101"/>
        <v>3.4381065373829304E-5</v>
      </c>
      <c r="S145" s="2"/>
      <c r="T145" s="7">
        <v>191.74</v>
      </c>
      <c r="U145" s="2"/>
      <c r="V145" s="6">
        <f t="shared" si="102"/>
        <v>1.6101605480551849E-4</v>
      </c>
      <c r="W145" s="2"/>
      <c r="X145" s="7">
        <f t="shared" si="103"/>
        <v>-114.57000000000001</v>
      </c>
      <c r="Y145" s="2"/>
      <c r="Z145" s="6">
        <f t="shared" si="104"/>
        <v>-0.59752790236778974</v>
      </c>
    </row>
    <row r="146" spans="1:26" s="24" customFormat="1" hidden="1" outlineLevel="2" x14ac:dyDescent="0.3">
      <c r="A146" s="27"/>
      <c r="B146" s="11" t="str">
        <f>CONCATENATE("          ", "6241", " - ", "OFFICE EXPENSE")</f>
        <v xml:space="preserve">          6241 - OFFICE EXPENSE</v>
      </c>
      <c r="C146" s="11"/>
      <c r="D146" s="7">
        <v>137.04</v>
      </c>
      <c r="E146" s="2"/>
      <c r="F146" s="6">
        <f t="shared" si="97"/>
        <v>7.7900851725074102E-4</v>
      </c>
      <c r="G146" s="2"/>
      <c r="H146" s="7">
        <v>337.04</v>
      </c>
      <c r="I146" s="2"/>
      <c r="J146" s="6">
        <f t="shared" si="98"/>
        <v>2.1026576559659287E-3</v>
      </c>
      <c r="K146" s="2"/>
      <c r="L146" s="7">
        <f t="shared" si="99"/>
        <v>-200.00000000000003</v>
      </c>
      <c r="M146" s="2"/>
      <c r="N146" s="6">
        <f t="shared" si="100"/>
        <v>-0.59340137669119397</v>
      </c>
      <c r="O146" s="11"/>
      <c r="P146" s="7">
        <v>1550.02</v>
      </c>
      <c r="Q146" s="2"/>
      <c r="R146" s="6">
        <f t="shared" si="101"/>
        <v>6.9057067449453027E-4</v>
      </c>
      <c r="S146" s="2"/>
      <c r="T146" s="7">
        <v>904.2</v>
      </c>
      <c r="U146" s="2"/>
      <c r="V146" s="6">
        <f t="shared" si="102"/>
        <v>7.5931321975148541E-4</v>
      </c>
      <c r="W146" s="2"/>
      <c r="X146" s="7">
        <f t="shared" si="103"/>
        <v>645.81999999999994</v>
      </c>
      <c r="Y146" s="2"/>
      <c r="Z146" s="6">
        <f t="shared" si="104"/>
        <v>0.71424463614244627</v>
      </c>
    </row>
    <row r="147" spans="1:26" s="24" customFormat="1" hidden="1" outlineLevel="2" x14ac:dyDescent="0.3">
      <c r="A147" s="27"/>
      <c r="B147" s="11" t="str">
        <f>CONCATENATE("          ", "6245", " - ", "PRINTING")</f>
        <v xml:space="preserve">          6245 - PRINTING</v>
      </c>
      <c r="C147" s="11"/>
      <c r="D147" s="7"/>
      <c r="E147" s="2"/>
      <c r="F147" s="6">
        <f t="shared" si="97"/>
        <v>0</v>
      </c>
      <c r="G147" s="2"/>
      <c r="H147" s="7"/>
      <c r="I147" s="2"/>
      <c r="J147" s="6">
        <f t="shared" si="98"/>
        <v>0</v>
      </c>
      <c r="K147" s="2"/>
      <c r="L147" s="7">
        <f t="shared" si="99"/>
        <v>0</v>
      </c>
      <c r="M147" s="2"/>
      <c r="N147" s="6">
        <f t="shared" si="100"/>
        <v>0</v>
      </c>
      <c r="O147" s="11"/>
      <c r="P147" s="7">
        <v>24.75</v>
      </c>
      <c r="Q147" s="2"/>
      <c r="R147" s="6">
        <f t="shared" si="101"/>
        <v>1.1026712038386359E-5</v>
      </c>
      <c r="S147" s="2"/>
      <c r="T147" s="7"/>
      <c r="U147" s="2"/>
      <c r="V147" s="6">
        <f t="shared" si="102"/>
        <v>0</v>
      </c>
      <c r="W147" s="2"/>
      <c r="X147" s="7">
        <f t="shared" si="103"/>
        <v>24.75</v>
      </c>
      <c r="Y147" s="2"/>
      <c r="Z147" s="6">
        <f t="shared" si="104"/>
        <v>0</v>
      </c>
    </row>
    <row r="148" spans="1:26" s="24" customFormat="1" hidden="1" outlineLevel="2" x14ac:dyDescent="0.3">
      <c r="A148" s="27"/>
      <c r="B148" s="11" t="str">
        <f>CONCATENATE("          ", "6247", " - ", "STORE SUPPLIES")</f>
        <v xml:space="preserve">          6247 - STORE SUPPLIES</v>
      </c>
      <c r="C148" s="11"/>
      <c r="D148" s="7"/>
      <c r="E148" s="2"/>
      <c r="F148" s="6">
        <f t="shared" si="97"/>
        <v>0</v>
      </c>
      <c r="G148" s="2"/>
      <c r="H148" s="7">
        <v>873.11</v>
      </c>
      <c r="I148" s="2"/>
      <c r="J148" s="6">
        <f t="shared" si="98"/>
        <v>5.4469838179456798E-3</v>
      </c>
      <c r="K148" s="2"/>
      <c r="L148" s="7">
        <f t="shared" si="99"/>
        <v>-873.11</v>
      </c>
      <c r="M148" s="2"/>
      <c r="N148" s="6">
        <f t="shared" si="100"/>
        <v>-1</v>
      </c>
      <c r="O148" s="11"/>
      <c r="P148" s="7">
        <v>7071.66</v>
      </c>
      <c r="Q148" s="2"/>
      <c r="R148" s="6">
        <f t="shared" si="101"/>
        <v>3.1505922607424353E-3</v>
      </c>
      <c r="S148" s="2"/>
      <c r="T148" s="7">
        <v>1066.57</v>
      </c>
      <c r="U148" s="2"/>
      <c r="V148" s="6">
        <f t="shared" si="102"/>
        <v>8.9566545099573297E-4</v>
      </c>
      <c r="W148" s="2"/>
      <c r="X148" s="7">
        <f t="shared" si="103"/>
        <v>6005.09</v>
      </c>
      <c r="Y148" s="2"/>
      <c r="Z148" s="6">
        <f t="shared" si="104"/>
        <v>5.630282119317064</v>
      </c>
    </row>
    <row r="149" spans="1:26" s="29" customFormat="1" outlineLevel="1" collapsed="1" x14ac:dyDescent="0.3">
      <c r="A149" s="28"/>
      <c r="B149" s="14" t="str">
        <f>CONCATENATE("     ","Telephone/Data Lines                              ")</f>
        <v xml:space="preserve">     Telephone/Data Lines                              </v>
      </c>
      <c r="C149" s="14"/>
      <c r="D149" s="1">
        <f>SUM(OSRRefD22_19x_0)</f>
        <v>562.44000000000005</v>
      </c>
      <c r="E149" s="1"/>
      <c r="F149" s="5">
        <f t="shared" ref="F149:F154" si="105">IF(D$12=0,0,D149/D$12)</f>
        <v>3.1972092122191102E-3</v>
      </c>
      <c r="G149" s="1"/>
      <c r="H149" s="1">
        <f>SUM(OSRRefH22_19x_0)</f>
        <v>338.09</v>
      </c>
      <c r="I149" s="1"/>
      <c r="J149" s="5">
        <f t="shared" ref="J149:J154" si="106">IF(H$12=0,0,H149/H$12)</f>
        <v>2.1092081856916708E-3</v>
      </c>
      <c r="K149" s="1"/>
      <c r="L149" s="1">
        <f t="shared" ref="L149:L154" si="107">+D149-H149</f>
        <v>224.35000000000008</v>
      </c>
      <c r="M149" s="1"/>
      <c r="N149" s="5">
        <f t="shared" ref="N149:N154" si="108">IF(H149=0,0,L149/H149)</f>
        <v>0.66358070336301012</v>
      </c>
      <c r="O149" s="14"/>
      <c r="P149" s="1">
        <f>SUM(OSRRefP22_19x_0)</f>
        <v>3595.78</v>
      </c>
      <c r="Q149" s="1"/>
      <c r="R149" s="5">
        <f t="shared" ref="R149:R154" si="109">IF(P$12=0,0,P149/P$12)</f>
        <v>1.6020052773086425E-3</v>
      </c>
      <c r="S149" s="1"/>
      <c r="T149" s="1">
        <f>SUM(OSRRefT22_19x_0)</f>
        <v>4967.79</v>
      </c>
      <c r="U149" s="1"/>
      <c r="V149" s="5">
        <f t="shared" ref="V149:V154" si="110">IF(T$12=0,0,T149/T$12)</f>
        <v>4.1717635699504889E-3</v>
      </c>
      <c r="W149" s="1"/>
      <c r="X149" s="1">
        <f t="shared" ref="X149:X154" si="111">+P149-T149</f>
        <v>-1372.0099999999998</v>
      </c>
      <c r="Y149" s="1"/>
      <c r="Z149" s="5">
        <f t="shared" ref="Z149:Z154" si="112">IF(T149=0,0,X149/T149)</f>
        <v>-0.27618115902644835</v>
      </c>
    </row>
    <row r="150" spans="1:26" s="24" customFormat="1" hidden="1" outlineLevel="2" x14ac:dyDescent="0.3">
      <c r="A150" s="27"/>
      <c r="B150" s="11" t="str">
        <f>CONCATENATE("          ", "6309", " - ", "TELEPHONE")</f>
        <v xml:space="preserve">          6309 - TELEPHONE</v>
      </c>
      <c r="C150" s="11"/>
      <c r="D150" s="7">
        <v>562.44000000000005</v>
      </c>
      <c r="E150" s="2"/>
      <c r="F150" s="6">
        <f t="shared" si="105"/>
        <v>3.1972092122191102E-3</v>
      </c>
      <c r="G150" s="2"/>
      <c r="H150" s="7">
        <v>338.09</v>
      </c>
      <c r="I150" s="2"/>
      <c r="J150" s="6">
        <f t="shared" si="106"/>
        <v>2.1092081856916708E-3</v>
      </c>
      <c r="K150" s="2"/>
      <c r="L150" s="7">
        <f t="shared" si="107"/>
        <v>224.35000000000008</v>
      </c>
      <c r="M150" s="2"/>
      <c r="N150" s="6">
        <f t="shared" si="108"/>
        <v>0.66358070336301012</v>
      </c>
      <c r="O150" s="11"/>
      <c r="P150" s="7">
        <v>3595.78</v>
      </c>
      <c r="Q150" s="2"/>
      <c r="R150" s="6">
        <f t="shared" si="109"/>
        <v>1.6020052773086425E-3</v>
      </c>
      <c r="S150" s="2"/>
      <c r="T150" s="7">
        <v>4967.79</v>
      </c>
      <c r="U150" s="2"/>
      <c r="V150" s="6">
        <f t="shared" si="110"/>
        <v>4.1717635699504889E-3</v>
      </c>
      <c r="W150" s="2"/>
      <c r="X150" s="7">
        <f t="shared" si="111"/>
        <v>-1372.0099999999998</v>
      </c>
      <c r="Y150" s="2"/>
      <c r="Z150" s="6">
        <f t="shared" si="112"/>
        <v>-0.27618115902644835</v>
      </c>
    </row>
    <row r="151" spans="1:26" s="29" customFormat="1" outlineLevel="1" collapsed="1" x14ac:dyDescent="0.3">
      <c r="A151" s="28"/>
      <c r="B151" s="14" t="str">
        <f>CONCATENATE("     ","Travel                                            ")</f>
        <v xml:space="preserve">     Travel                                            </v>
      </c>
      <c r="C151" s="14"/>
      <c r="D151" s="1">
        <f>SUM(OSRRefD22_20x_0)</f>
        <v>0</v>
      </c>
      <c r="E151" s="1"/>
      <c r="F151" s="5">
        <f t="shared" si="105"/>
        <v>0</v>
      </c>
      <c r="G151" s="1"/>
      <c r="H151" s="1">
        <f>SUM(OSRRefH22_20x_0)</f>
        <v>129.38</v>
      </c>
      <c r="I151" s="1"/>
      <c r="J151" s="5">
        <f t="shared" si="106"/>
        <v>8.0715003420624197E-4</v>
      </c>
      <c r="K151" s="1"/>
      <c r="L151" s="1">
        <f t="shared" si="107"/>
        <v>-129.38</v>
      </c>
      <c r="M151" s="1"/>
      <c r="N151" s="5">
        <f t="shared" si="108"/>
        <v>-1</v>
      </c>
      <c r="O151" s="14"/>
      <c r="P151" s="1">
        <f>SUM(OSRRefP22_20x_0)</f>
        <v>239.93</v>
      </c>
      <c r="Q151" s="1"/>
      <c r="R151" s="5">
        <f t="shared" si="109"/>
        <v>1.0689450583313289E-4</v>
      </c>
      <c r="S151" s="1"/>
      <c r="T151" s="1">
        <f>SUM(OSRRefT22_20x_0)</f>
        <v>451.26</v>
      </c>
      <c r="U151" s="1"/>
      <c r="V151" s="5">
        <f t="shared" si="110"/>
        <v>3.78951209406166E-4</v>
      </c>
      <c r="W151" s="1"/>
      <c r="X151" s="1">
        <f t="shared" si="111"/>
        <v>-211.32999999999998</v>
      </c>
      <c r="Y151" s="1"/>
      <c r="Z151" s="5">
        <f t="shared" si="112"/>
        <v>-0.46831095155786018</v>
      </c>
    </row>
    <row r="152" spans="1:26" s="24" customFormat="1" hidden="1" outlineLevel="2" x14ac:dyDescent="0.3">
      <c r="A152" s="27"/>
      <c r="B152" s="11" t="str">
        <f>CONCATENATE("          ", "6294", " - ", "TRAVEL OPERATIONAL")</f>
        <v xml:space="preserve">          6294 - TRAVEL OPERATIONAL</v>
      </c>
      <c r="C152" s="11"/>
      <c r="D152" s="7"/>
      <c r="E152" s="2"/>
      <c r="F152" s="6">
        <f t="shared" si="105"/>
        <v>0</v>
      </c>
      <c r="G152" s="2"/>
      <c r="H152" s="7">
        <v>129.38</v>
      </c>
      <c r="I152" s="2"/>
      <c r="J152" s="6">
        <f t="shared" si="106"/>
        <v>8.0715003420624197E-4</v>
      </c>
      <c r="K152" s="2"/>
      <c r="L152" s="7">
        <f t="shared" si="107"/>
        <v>-129.38</v>
      </c>
      <c r="M152" s="2"/>
      <c r="N152" s="6">
        <f t="shared" si="108"/>
        <v>-1</v>
      </c>
      <c r="O152" s="11"/>
      <c r="P152" s="7">
        <v>239.93</v>
      </c>
      <c r="Q152" s="2"/>
      <c r="R152" s="6">
        <f t="shared" si="109"/>
        <v>1.0689450583313289E-4</v>
      </c>
      <c r="S152" s="2"/>
      <c r="T152" s="7">
        <v>451.26</v>
      </c>
      <c r="U152" s="2"/>
      <c r="V152" s="6">
        <f t="shared" si="110"/>
        <v>3.78951209406166E-4</v>
      </c>
      <c r="W152" s="2"/>
      <c r="X152" s="7">
        <f t="shared" si="111"/>
        <v>-211.32999999999998</v>
      </c>
      <c r="Y152" s="2"/>
      <c r="Z152" s="6">
        <f t="shared" si="112"/>
        <v>-0.46831095155786018</v>
      </c>
    </row>
    <row r="153" spans="1:26" s="29" customFormat="1" outlineLevel="1" collapsed="1" x14ac:dyDescent="0.3">
      <c r="A153" s="28"/>
      <c r="B153" s="14" t="str">
        <f>CONCATENATE("     ","Utilities                                         ")</f>
        <v xml:space="preserve">     Utilities                                         </v>
      </c>
      <c r="C153" s="14"/>
      <c r="D153" s="1">
        <f>SUM(OSRRefD22_21x_0)</f>
        <v>292.91000000000003</v>
      </c>
      <c r="E153" s="1"/>
      <c r="F153" s="5">
        <f t="shared" si="105"/>
        <v>1.6650568066835566E-3</v>
      </c>
      <c r="G153" s="1"/>
      <c r="H153" s="1">
        <f>SUM(OSRRefH22_21x_0)</f>
        <v>32.61</v>
      </c>
      <c r="I153" s="1"/>
      <c r="J153" s="5">
        <f t="shared" si="106"/>
        <v>2.0344073748234311E-4</v>
      </c>
      <c r="K153" s="1"/>
      <c r="L153" s="1">
        <f t="shared" si="107"/>
        <v>260.3</v>
      </c>
      <c r="M153" s="1"/>
      <c r="N153" s="5">
        <f t="shared" si="108"/>
        <v>7.9822140447715428</v>
      </c>
      <c r="O153" s="14"/>
      <c r="P153" s="1">
        <f>SUM(OSRRefP22_21x_0)</f>
        <v>539.41999999999996</v>
      </c>
      <c r="Q153" s="1"/>
      <c r="R153" s="5">
        <f t="shared" si="109"/>
        <v>2.4032440435338865E-4</v>
      </c>
      <c r="S153" s="1"/>
      <c r="T153" s="1">
        <f>SUM(OSRRefT22_21x_0)</f>
        <v>177.01</v>
      </c>
      <c r="U153" s="1"/>
      <c r="V153" s="5">
        <f t="shared" si="110"/>
        <v>1.4864635371401286E-4</v>
      </c>
      <c r="W153" s="1"/>
      <c r="X153" s="1">
        <f t="shared" si="111"/>
        <v>362.40999999999997</v>
      </c>
      <c r="Y153" s="1"/>
      <c r="Z153" s="5">
        <f t="shared" si="112"/>
        <v>2.0473984520648552</v>
      </c>
    </row>
    <row r="154" spans="1:26" s="24" customFormat="1" hidden="1" outlineLevel="2" x14ac:dyDescent="0.3">
      <c r="A154" s="27"/>
      <c r="B154" s="11" t="str">
        <f>CONCATENATE("          ", "6274", " - ", "UTILITIES")</f>
        <v xml:space="preserve">          6274 - UTILITIES</v>
      </c>
      <c r="C154" s="11"/>
      <c r="D154" s="7">
        <v>292.91000000000003</v>
      </c>
      <c r="E154" s="2"/>
      <c r="F154" s="6">
        <f t="shared" si="105"/>
        <v>1.6650568066835566E-3</v>
      </c>
      <c r="G154" s="2"/>
      <c r="H154" s="7">
        <v>32.61</v>
      </c>
      <c r="I154" s="2"/>
      <c r="J154" s="6">
        <f t="shared" si="106"/>
        <v>2.0344073748234311E-4</v>
      </c>
      <c r="K154" s="2"/>
      <c r="L154" s="7">
        <f t="shared" si="107"/>
        <v>260.3</v>
      </c>
      <c r="M154" s="2"/>
      <c r="N154" s="6">
        <f t="shared" si="108"/>
        <v>7.9822140447715428</v>
      </c>
      <c r="O154" s="11"/>
      <c r="P154" s="7">
        <v>539.41999999999996</v>
      </c>
      <c r="Q154" s="2"/>
      <c r="R154" s="6">
        <f t="shared" si="109"/>
        <v>2.4032440435338865E-4</v>
      </c>
      <c r="S154" s="2"/>
      <c r="T154" s="7">
        <v>177.01</v>
      </c>
      <c r="U154" s="2"/>
      <c r="V154" s="6">
        <f t="shared" si="110"/>
        <v>1.4864635371401286E-4</v>
      </c>
      <c r="W154" s="2"/>
      <c r="X154" s="7">
        <f t="shared" si="111"/>
        <v>362.40999999999997</v>
      </c>
      <c r="Y154" s="2"/>
      <c r="Z154" s="6">
        <f t="shared" si="112"/>
        <v>2.0473984520648552</v>
      </c>
    </row>
    <row r="155" spans="1:26" s="52" customFormat="1" x14ac:dyDescent="0.3">
      <c r="A155" s="37"/>
      <c r="B155" s="37"/>
      <c r="C155" s="37"/>
      <c r="D155" s="1"/>
      <c r="E155" s="1"/>
      <c r="F155" s="5"/>
      <c r="G155" s="1"/>
      <c r="H155" s="1"/>
      <c r="I155" s="1"/>
      <c r="J155" s="5"/>
      <c r="K155" s="1"/>
      <c r="L155" s="1"/>
      <c r="M155" s="1"/>
      <c r="N155" s="5"/>
      <c r="O155" s="37"/>
      <c r="P155" s="1"/>
      <c r="Q155" s="1"/>
      <c r="R155" s="5"/>
      <c r="S155" s="1"/>
      <c r="T155" s="1"/>
      <c r="U155" s="1"/>
      <c r="V155" s="5"/>
      <c r="W155" s="1"/>
      <c r="X155" s="1"/>
      <c r="Y155" s="1"/>
      <c r="Z155" s="5"/>
    </row>
    <row r="156" spans="1:26" s="23" customFormat="1" collapsed="1" x14ac:dyDescent="0.3">
      <c r="A156" s="10"/>
      <c r="B156" s="26" t="s">
        <v>292</v>
      </c>
      <c r="C156" s="10"/>
      <c r="D156" s="4">
        <f>SUM(OSRRefD25x_0)</f>
        <v>39149.25</v>
      </c>
      <c r="E156" s="4"/>
      <c r="F156" s="12">
        <f t="shared" ref="F156:F158" si="113">IF(D$12=0,0,D156/D$12)</f>
        <v>0.22254523638338131</v>
      </c>
      <c r="G156" s="4"/>
      <c r="H156" s="4">
        <f>SUM(OSRRefH25x_0)</f>
        <v>15571.57</v>
      </c>
      <c r="I156" s="4"/>
      <c r="J156" s="12">
        <f t="shared" ref="J156:J158" si="114">IF(H$12=0,0,H156/H$12)</f>
        <v>9.7144792534741786E-2</v>
      </c>
      <c r="K156" s="4"/>
      <c r="L156" s="4">
        <f t="shared" ref="L156:L158" si="115">+D156-H156</f>
        <v>23577.68</v>
      </c>
      <c r="M156" s="4"/>
      <c r="N156" s="12">
        <f t="shared" ref="N156:N158" si="116">IF(H156=0,0,L156/H156)</f>
        <v>1.5141491834156735</v>
      </c>
      <c r="O156" s="10"/>
      <c r="P156" s="4">
        <f>SUM(OSRRefP25x_0)</f>
        <v>158502.37</v>
      </c>
      <c r="Q156" s="4"/>
      <c r="R156" s="12">
        <f t="shared" ref="R156:R158" si="117">IF(P$12=0,0,P156/P$12)</f>
        <v>7.0616565308758331E-2</v>
      </c>
      <c r="S156" s="4"/>
      <c r="T156" s="4">
        <f>SUM(OSRRefT25x_0)</f>
        <v>221779.15</v>
      </c>
      <c r="U156" s="4"/>
      <c r="V156" s="12">
        <f t="shared" ref="V156:V158" si="118">IF(T$12=0,0,T156/T$12)</f>
        <v>0.18624180541942895</v>
      </c>
      <c r="W156" s="4"/>
      <c r="X156" s="4">
        <f t="shared" ref="X156:X158" si="119">+P156-T156</f>
        <v>-63276.78</v>
      </c>
      <c r="Y156" s="4"/>
      <c r="Z156" s="12">
        <f t="shared" ref="Z156:Z158" si="120">IF(T156=0,0,X156/T156)</f>
        <v>-0.28531437693759759</v>
      </c>
    </row>
    <row r="157" spans="1:26" s="24" customFormat="1" hidden="1" outlineLevel="1" x14ac:dyDescent="0.3">
      <c r="A157" s="44"/>
      <c r="B157" s="11" t="str">
        <f>CONCATENATE("          ", "9150", " - ", "MISC. INCOME")</f>
        <v xml:space="preserve">          9150 - MISC. INCOME</v>
      </c>
      <c r="C157" s="11"/>
      <c r="D157" s="2">
        <f>--32121.75</f>
        <v>32121.75</v>
      </c>
      <c r="E157" s="2"/>
      <c r="F157" s="19">
        <f t="shared" si="113"/>
        <v>0.18259717483215845</v>
      </c>
      <c r="G157" s="2"/>
      <c r="H157" s="2">
        <f>--15571.57</f>
        <v>15571.57</v>
      </c>
      <c r="I157" s="2"/>
      <c r="J157" s="19">
        <f t="shared" si="114"/>
        <v>9.7144792534741786E-2</v>
      </c>
      <c r="K157" s="2"/>
      <c r="L157" s="2">
        <f t="shared" si="115"/>
        <v>16550.18</v>
      </c>
      <c r="M157" s="2"/>
      <c r="N157" s="19">
        <f t="shared" si="116"/>
        <v>1.0628459429588668</v>
      </c>
      <c r="O157" s="11"/>
      <c r="P157" s="2">
        <f>--78726.67</f>
        <v>78726.67</v>
      </c>
      <c r="Q157" s="2"/>
      <c r="R157" s="19">
        <f t="shared" si="117"/>
        <v>3.5074598781053339E-2</v>
      </c>
      <c r="S157" s="2"/>
      <c r="T157" s="2">
        <f>--46373.31</f>
        <v>46373.31</v>
      </c>
      <c r="U157" s="2"/>
      <c r="V157" s="19">
        <f t="shared" si="118"/>
        <v>3.8942565059316252E-2</v>
      </c>
      <c r="W157" s="2"/>
      <c r="X157" s="2">
        <f t="shared" si="119"/>
        <v>32353.360000000001</v>
      </c>
      <c r="Y157" s="2"/>
      <c r="Z157" s="19">
        <f t="shared" si="120"/>
        <v>0.69767200141633201</v>
      </c>
    </row>
    <row r="158" spans="1:26" s="24" customFormat="1" hidden="1" outlineLevel="1" x14ac:dyDescent="0.3">
      <c r="A158" s="44"/>
      <c r="B158" s="11" t="str">
        <f>CONCATENATE("          ", "9163", " - ", "MISC. INCOME")</f>
        <v xml:space="preserve">          9163 - MISC. INCOME</v>
      </c>
      <c r="C158" s="11"/>
      <c r="D158" s="2">
        <f>--7027.5</f>
        <v>7027.5</v>
      </c>
      <c r="E158" s="2"/>
      <c r="F158" s="19">
        <f t="shared" si="113"/>
        <v>3.994806155122288E-2</v>
      </c>
      <c r="G158" s="2"/>
      <c r="H158" s="2">
        <f>0</f>
        <v>0</v>
      </c>
      <c r="I158" s="2"/>
      <c r="J158" s="19">
        <f t="shared" si="114"/>
        <v>0</v>
      </c>
      <c r="K158" s="2"/>
      <c r="L158" s="2">
        <f t="shared" si="115"/>
        <v>7027.5</v>
      </c>
      <c r="M158" s="2"/>
      <c r="N158" s="19">
        <f t="shared" si="116"/>
        <v>0</v>
      </c>
      <c r="O158" s="11"/>
      <c r="P158" s="2">
        <f>--79775.7</f>
        <v>79775.7</v>
      </c>
      <c r="Q158" s="2"/>
      <c r="R158" s="19">
        <f t="shared" si="117"/>
        <v>3.5541966527704992E-2</v>
      </c>
      <c r="S158" s="2"/>
      <c r="T158" s="2">
        <f>--175405.84</f>
        <v>175405.84</v>
      </c>
      <c r="U158" s="2"/>
      <c r="V158" s="19">
        <f t="shared" si="118"/>
        <v>0.14729924036011269</v>
      </c>
      <c r="W158" s="2"/>
      <c r="X158" s="2">
        <f t="shared" si="119"/>
        <v>-95630.14</v>
      </c>
      <c r="Y158" s="2"/>
      <c r="Z158" s="19">
        <f t="shared" si="120"/>
        <v>-0.54519359218598429</v>
      </c>
    </row>
    <row r="159" spans="1:26" x14ac:dyDescent="0.3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3">
      <c r="A160" s="10"/>
      <c r="B160" s="25" t="s">
        <v>276</v>
      </c>
      <c r="C160" s="25"/>
      <c r="D160" s="21">
        <f>+D83-D85+D156</f>
        <v>4031.800000000032</v>
      </c>
      <c r="E160" s="13"/>
      <c r="F160" s="22">
        <f>IF(D$12=0,0,D160/D$12)</f>
        <v>2.2918903530732362E-2</v>
      </c>
      <c r="G160" s="13"/>
      <c r="H160" s="21">
        <f>+H83-H85+H156</f>
        <v>12196.420000000093</v>
      </c>
      <c r="I160" s="13"/>
      <c r="J160" s="22">
        <f>IF(H$12=0,0,H160/H$12)</f>
        <v>7.6088582626323772E-2</v>
      </c>
      <c r="K160" s="15"/>
      <c r="L160" s="21">
        <f>+D160-H160</f>
        <v>-8164.6200000000608</v>
      </c>
      <c r="M160" s="15"/>
      <c r="N160" s="22">
        <f>IF(H160=0,0,L160/H160)</f>
        <v>-0.66942758612773245</v>
      </c>
      <c r="O160" s="26"/>
      <c r="P160" s="21">
        <f>+P83-P85+P156</f>
        <v>619294.79999999981</v>
      </c>
      <c r="Q160" s="13"/>
      <c r="R160" s="22">
        <f>IF(P$12=0,0,P160/P$12)</f>
        <v>0.275910522281619</v>
      </c>
      <c r="S160" s="13"/>
      <c r="T160" s="21">
        <f>+T83-T85+T156</f>
        <v>245037.06999999957</v>
      </c>
      <c r="U160" s="13"/>
      <c r="V160" s="22">
        <f>IF(T$12=0,0,T160/T$12)</f>
        <v>0.2057729336210681</v>
      </c>
      <c r="W160" s="15"/>
      <c r="X160" s="21">
        <f>+P160-T160</f>
        <v>374257.73000000021</v>
      </c>
      <c r="Y160" s="15"/>
      <c r="Z160" s="22">
        <f>IF(T160=0,0,X160/T160)</f>
        <v>1.5273514737994576</v>
      </c>
    </row>
    <row r="161" spans="1:26" x14ac:dyDescent="0.3">
      <c r="A161" s="9"/>
      <c r="B161" s="10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x14ac:dyDescent="0.3">
      <c r="A162" s="51"/>
      <c r="B162" s="10" t="s">
        <v>127</v>
      </c>
      <c r="C162" s="10"/>
      <c r="D162" s="4">
        <v>48102.07</v>
      </c>
      <c r="E162" s="4"/>
      <c r="F162" s="12">
        <f>IF(D$12=0,0,D162/D$12)</f>
        <v>0.27343784462486392</v>
      </c>
      <c r="G162" s="4"/>
      <c r="H162" s="4">
        <v>19759.310000000001</v>
      </c>
      <c r="I162" s="4"/>
      <c r="J162" s="12">
        <f>IF(H$12=0,0,H162/H$12)</f>
        <v>0.12327042620491376</v>
      </c>
      <c r="K162" s="4"/>
      <c r="L162" s="4">
        <f>+D162-H162</f>
        <v>28342.76</v>
      </c>
      <c r="M162" s="4"/>
      <c r="N162" s="12">
        <f>IF(H162=0,0,L162/H162)</f>
        <v>1.4344002902935373</v>
      </c>
      <c r="O162" s="10"/>
      <c r="P162" s="4">
        <v>297105.14</v>
      </c>
      <c r="Q162" s="4"/>
      <c r="R162" s="12">
        <f>IF(P$12=0,0,P162/P$12)</f>
        <v>0.13236738682442281</v>
      </c>
      <c r="S162" s="4"/>
      <c r="T162" s="4">
        <v>216164.05</v>
      </c>
      <c r="U162" s="4"/>
      <c r="V162" s="12">
        <f>IF(T$12=0,0,T162/T$12)</f>
        <v>0.18152645520904787</v>
      </c>
      <c r="W162" s="4"/>
      <c r="X162" s="4">
        <f>+P162-T162</f>
        <v>80941.090000000026</v>
      </c>
      <c r="Y162" s="4"/>
      <c r="Z162" s="12">
        <f>IF(T162=0,0,X162/T162)</f>
        <v>0.37444288261623537</v>
      </c>
    </row>
    <row r="163" spans="1:26" x14ac:dyDescent="0.3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" thickBot="1" x14ac:dyDescent="0.35">
      <c r="A164" s="10"/>
      <c r="B164" s="25" t="s">
        <v>125</v>
      </c>
      <c r="C164" s="25"/>
      <c r="D164" s="36">
        <f>+D160-D162</f>
        <v>-44070.269999999968</v>
      </c>
      <c r="E164" s="13"/>
      <c r="F164" s="31">
        <f>IF(D$12=0,0,D164/D$12)</f>
        <v>-0.25051894109413159</v>
      </c>
      <c r="G164" s="13"/>
      <c r="H164" s="36">
        <f>+H160-H162</f>
        <v>-7562.8899999999085</v>
      </c>
      <c r="I164" s="13"/>
      <c r="J164" s="31">
        <f>IF(H$12=0,0,H164/H$12)</f>
        <v>-4.7181843578589983E-2</v>
      </c>
      <c r="K164" s="15"/>
      <c r="L164" s="36">
        <f>D164-H164</f>
        <v>-36507.380000000063</v>
      </c>
      <c r="M164" s="15"/>
      <c r="N164" s="31">
        <f>IF(H164=0,0,L164/H164)</f>
        <v>4.8271732102411251</v>
      </c>
      <c r="O164" s="26"/>
      <c r="P164" s="36">
        <f>+P160-P162</f>
        <v>322189.6599999998</v>
      </c>
      <c r="Q164" s="13"/>
      <c r="R164" s="31">
        <f>IF(P$12=0,0,P164/P$12)</f>
        <v>0.14354313545719619</v>
      </c>
      <c r="S164" s="13"/>
      <c r="T164" s="36">
        <f>+T160-T162</f>
        <v>28873.019999999582</v>
      </c>
      <c r="U164" s="13"/>
      <c r="V164" s="31">
        <f>IF(T$12=0,0,T164/T$12)</f>
        <v>2.4246478412020257E-2</v>
      </c>
      <c r="W164" s="15"/>
      <c r="X164" s="36">
        <f>P164-T164</f>
        <v>293316.64000000025</v>
      </c>
      <c r="Y164" s="15"/>
      <c r="Z164" s="31">
        <f>IF(T164=0,0,X164/T164)</f>
        <v>10.158848641396172</v>
      </c>
    </row>
    <row r="165" spans="1:26" ht="15" thickTop="1" x14ac:dyDescent="0.3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x14ac:dyDescent="0.3">
      <c r="A166" s="9"/>
      <c r="B166" s="9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ht="15" thickBot="1" x14ac:dyDescent="0.35">
      <c r="A167" s="10"/>
      <c r="B167" s="25" t="s">
        <v>293</v>
      </c>
      <c r="C167" s="25"/>
      <c r="D167" s="35">
        <f>SUM(D164:D166)</f>
        <v>-44070.269999999968</v>
      </c>
      <c r="E167" s="13"/>
      <c r="F167" s="32">
        <f>IF(D$12=0,0,D167/D$12)</f>
        <v>-0.25051894109413159</v>
      </c>
      <c r="G167" s="13"/>
      <c r="H167" s="35">
        <f>SUM(H164:H166)</f>
        <v>-7562.8899999999085</v>
      </c>
      <c r="I167" s="13"/>
      <c r="J167" s="32">
        <f>IF(H$12=0,0,H167/H$12)</f>
        <v>-4.7181843578589983E-2</v>
      </c>
      <c r="K167" s="15"/>
      <c r="L167" s="35">
        <f>+D167-H167</f>
        <v>-36507.380000000063</v>
      </c>
      <c r="M167" s="15"/>
      <c r="N167" s="32">
        <f>IF(H167=0,0,L167/H167)</f>
        <v>4.8271732102411251</v>
      </c>
      <c r="O167" s="26"/>
      <c r="P167" s="35">
        <f>SUM(P164:P166)</f>
        <v>322189.6599999998</v>
      </c>
      <c r="Q167" s="13"/>
      <c r="R167" s="32">
        <f>IF(P$12=0,0,P167/P$12)</f>
        <v>0.14354313545719619</v>
      </c>
      <c r="S167" s="13"/>
      <c r="T167" s="35">
        <f>SUM(T164:T166)</f>
        <v>28873.019999999582</v>
      </c>
      <c r="U167" s="13"/>
      <c r="V167" s="32">
        <f>IF(T$12=0,0,T167/T$12)</f>
        <v>2.4246478412020257E-2</v>
      </c>
      <c r="W167" s="15"/>
      <c r="X167" s="35">
        <f>+P167-T167</f>
        <v>293316.64000000025</v>
      </c>
      <c r="Y167" s="15"/>
      <c r="Z167" s="32">
        <f>IF(T167=0,0,X167/T167)</f>
        <v>10.158848641396172</v>
      </c>
    </row>
    <row r="168" spans="1:26" ht="15" thickTop="1" x14ac:dyDescent="0.3">
      <c r="A168" s="9"/>
      <c r="C168" s="9"/>
      <c r="D168" s="17"/>
      <c r="E168" s="17"/>
      <c r="G168" s="17"/>
      <c r="H168" s="17"/>
      <c r="I168" s="17"/>
      <c r="J168" s="42"/>
      <c r="K168" s="17"/>
      <c r="L168" s="17"/>
      <c r="M168" s="17"/>
      <c r="P168" s="17"/>
      <c r="Q168" s="17"/>
      <c r="R168" s="42"/>
      <c r="S168" s="17"/>
      <c r="T168" s="17"/>
      <c r="U168" s="17"/>
      <c r="V168" s="42"/>
      <c r="W168" s="17"/>
      <c r="X168" s="17"/>
    </row>
    <row r="169" spans="1:26" x14ac:dyDescent="0.3">
      <c r="A169" s="9"/>
      <c r="B169" s="54">
        <v>44604.028421527779</v>
      </c>
      <c r="D169" s="17"/>
      <c r="E169" s="17"/>
      <c r="G169" s="17"/>
      <c r="H169" s="17"/>
      <c r="I169" s="17"/>
      <c r="J169" s="42"/>
      <c r="K169" s="17"/>
      <c r="L169" s="17"/>
      <c r="M169" s="17"/>
      <c r="P169" s="17"/>
      <c r="Q169" s="17"/>
      <c r="R169" s="42"/>
      <c r="S169" s="17"/>
      <c r="T169" s="17"/>
      <c r="U169" s="17"/>
      <c r="V169" s="42"/>
      <c r="W169" s="17"/>
      <c r="X169" s="17"/>
    </row>
    <row r="170" spans="1:26" x14ac:dyDescent="0.3">
      <c r="A170" s="9"/>
      <c r="B170" s="53" t="s">
        <v>56</v>
      </c>
      <c r="D170" s="17"/>
      <c r="E170" s="17"/>
      <c r="G170" s="17"/>
      <c r="H170" s="17"/>
      <c r="I170" s="17"/>
      <c r="J170" s="42"/>
      <c r="K170" s="17"/>
      <c r="L170" s="17"/>
      <c r="M170" s="17"/>
      <c r="P170" s="17"/>
      <c r="Q170" s="17"/>
      <c r="R170" s="42"/>
      <c r="S170" s="17"/>
      <c r="T170" s="17"/>
      <c r="U170" s="17"/>
      <c r="V170" s="42"/>
      <c r="W170" s="17"/>
      <c r="X170" s="17"/>
    </row>
    <row r="171" spans="1:26" x14ac:dyDescent="0.3">
      <c r="A171" s="9"/>
      <c r="B171" s="59"/>
      <c r="D171" s="17"/>
      <c r="E171" s="17"/>
      <c r="G171" s="17"/>
      <c r="H171" s="17"/>
      <c r="I171" s="17"/>
      <c r="J171" s="42"/>
      <c r="K171" s="17"/>
      <c r="L171" s="17"/>
      <c r="M171" s="17"/>
      <c r="P171" s="17"/>
      <c r="Q171" s="17"/>
      <c r="R171" s="42"/>
      <c r="S171" s="17"/>
      <c r="T171" s="17"/>
      <c r="U171" s="17"/>
      <c r="V171" s="42"/>
      <c r="W171" s="17"/>
      <c r="X171" s="17"/>
    </row>
    <row r="172" spans="1:26" x14ac:dyDescent="0.3">
      <c r="D172" s="17"/>
      <c r="E172" s="17"/>
      <c r="G172" s="17"/>
      <c r="H172" s="17"/>
      <c r="I172" s="17"/>
      <c r="J172" s="42"/>
      <c r="K172" s="17"/>
      <c r="L172" s="17"/>
      <c r="M172" s="17"/>
      <c r="P172" s="17"/>
      <c r="Q172" s="17"/>
      <c r="R172" s="42"/>
      <c r="S172" s="17"/>
      <c r="T172" s="17"/>
      <c r="U172" s="17"/>
      <c r="V172" s="42"/>
      <c r="W172" s="17"/>
      <c r="X172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","315", " - ", "Bookstore Retail")</f>
        <v>Department 315 - Bookstore Retail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149324.49</v>
      </c>
      <c r="E12" s="4"/>
      <c r="F12" s="12"/>
      <c r="G12" s="4"/>
      <c r="H12" s="4">
        <f>SUM(OSRRefH13x_0)</f>
        <v>141539.27000000002</v>
      </c>
      <c r="I12" s="4"/>
      <c r="J12" s="12"/>
      <c r="K12" s="4"/>
      <c r="L12" s="4">
        <f t="shared" ref="L12:L54" si="0">+D12-H12</f>
        <v>7785.2199999999721</v>
      </c>
      <c r="M12" s="4"/>
      <c r="N12" s="12">
        <f t="shared" ref="N12:N54" si="1">IF(H12=0,0,L12/H12)</f>
        <v>5.5003957558916128E-2</v>
      </c>
      <c r="O12" s="10"/>
      <c r="P12" s="4">
        <f>SUM(OSRRefP13x_0)</f>
        <v>2013243.3999999997</v>
      </c>
      <c r="Q12" s="4"/>
      <c r="R12" s="12"/>
      <c r="S12" s="4"/>
      <c r="T12" s="4">
        <f>SUM(OSRRefT13x_0)</f>
        <v>1027142.7300000001</v>
      </c>
      <c r="U12" s="4"/>
      <c r="V12" s="12"/>
      <c r="W12" s="4"/>
      <c r="X12" s="4">
        <f t="shared" ref="X12:X54" si="2">+P12-T12</f>
        <v>986100.66999999958</v>
      </c>
      <c r="Y12" s="4"/>
      <c r="Z12" s="12">
        <f t="shared" ref="Z12:Z54" si="3">IF(T12=0,0,X12/T12)</f>
        <v>0.96004249574934875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--141554.15</f>
        <v>141554.15</v>
      </c>
      <c r="E13" s="2"/>
      <c r="F13" s="19"/>
      <c r="G13" s="2"/>
      <c r="H13" s="2">
        <f>-10320.6</f>
        <v>-10320.6</v>
      </c>
      <c r="I13" s="2"/>
      <c r="J13" s="19"/>
      <c r="K13" s="2"/>
      <c r="L13" s="2">
        <f t="shared" si="0"/>
        <v>151874.75</v>
      </c>
      <c r="M13" s="2"/>
      <c r="N13" s="19">
        <f t="shared" si="1"/>
        <v>-14.715689979264772</v>
      </c>
      <c r="O13" s="11"/>
      <c r="P13" s="2">
        <f>--1885030.64</f>
        <v>1885030.64</v>
      </c>
      <c r="Q13" s="2"/>
      <c r="R13" s="19"/>
      <c r="S13" s="2"/>
      <c r="T13" s="2">
        <f>-87775.16</f>
        <v>-87775.16</v>
      </c>
      <c r="U13" s="2"/>
      <c r="V13" s="19"/>
      <c r="W13" s="2"/>
      <c r="X13" s="2">
        <f t="shared" si="2"/>
        <v>1972805.7999999998</v>
      </c>
      <c r="Y13" s="2"/>
      <c r="Z13" s="19">
        <f t="shared" si="3"/>
        <v>-22.475673071971613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--8641.35</f>
        <v>8641.35</v>
      </c>
      <c r="I15" s="2"/>
      <c r="J15" s="19"/>
      <c r="K15" s="2"/>
      <c r="L15" s="2">
        <f t="shared" si="0"/>
        <v>-8641.35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--40394.79</f>
        <v>40394.79</v>
      </c>
      <c r="U15" s="2"/>
      <c r="V15" s="19"/>
      <c r="W15" s="2"/>
      <c r="X15" s="2">
        <f t="shared" si="2"/>
        <v>-40394.79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--21770.01</f>
        <v>21770.01</v>
      </c>
      <c r="I16" s="2"/>
      <c r="J16" s="19"/>
      <c r="K16" s="2"/>
      <c r="L16" s="2">
        <f t="shared" si="0"/>
        <v>-21770.01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--26443.53</f>
        <v>26443.53</v>
      </c>
      <c r="U16" s="2"/>
      <c r="V16" s="19"/>
      <c r="W16" s="2"/>
      <c r="X16" s="2">
        <f t="shared" si="2"/>
        <v>-26443.53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--477.59</f>
        <v>477.59</v>
      </c>
      <c r="I17" s="2"/>
      <c r="J17" s="19"/>
      <c r="K17" s="2"/>
      <c r="L17" s="2">
        <f t="shared" si="0"/>
        <v>-477.59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--2212.69</f>
        <v>2212.69</v>
      </c>
      <c r="U17" s="2"/>
      <c r="V17" s="19"/>
      <c r="W17" s="2"/>
      <c r="X17" s="2">
        <f t="shared" si="2"/>
        <v>-2212.69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--72874.93</f>
        <v>72874.929999999993</v>
      </c>
      <c r="I19" s="2"/>
      <c r="J19" s="19"/>
      <c r="K19" s="2"/>
      <c r="L19" s="2">
        <f t="shared" si="0"/>
        <v>-72874.929999999993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--462121.98</f>
        <v>462121.98</v>
      </c>
      <c r="U19" s="2"/>
      <c r="V19" s="19"/>
      <c r="W19" s="2"/>
      <c r="X19" s="2">
        <f t="shared" si="2"/>
        <v>-462121.98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--21568.69</f>
        <v>21568.69</v>
      </c>
      <c r="I20" s="2"/>
      <c r="J20" s="19"/>
      <c r="K20" s="2"/>
      <c r="L20" s="2">
        <f t="shared" si="0"/>
        <v>-21568.69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--139295.32</f>
        <v>139295.32</v>
      </c>
      <c r="U20" s="2"/>
      <c r="V20" s="19"/>
      <c r="W20" s="2"/>
      <c r="X20" s="2">
        <f t="shared" si="2"/>
        <v>-139295.32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--7139.06</f>
        <v>7139.06</v>
      </c>
      <c r="I21" s="2"/>
      <c r="J21" s="19"/>
      <c r="K21" s="2"/>
      <c r="L21" s="2">
        <f t="shared" si="0"/>
        <v>-7139.06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--53028.97</f>
        <v>53028.97</v>
      </c>
      <c r="U21" s="2"/>
      <c r="V21" s="19"/>
      <c r="W21" s="2"/>
      <c r="X21" s="2">
        <f t="shared" si="2"/>
        <v>-53028.97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--22862.29</f>
        <v>22862.29</v>
      </c>
      <c r="I22" s="2"/>
      <c r="J22" s="19"/>
      <c r="K22" s="2"/>
      <c r="L22" s="2">
        <f t="shared" si="0"/>
        <v>-22862.29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--109715.25</f>
        <v>109715.25</v>
      </c>
      <c r="U22" s="2"/>
      <c r="V22" s="19"/>
      <c r="W22" s="2"/>
      <c r="X22" s="2">
        <f t="shared" si="2"/>
        <v>-109715.25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--1169.64</f>
        <v>1169.6400000000001</v>
      </c>
      <c r="I23" s="2"/>
      <c r="J23" s="19"/>
      <c r="K23" s="2"/>
      <c r="L23" s="2">
        <f t="shared" si="0"/>
        <v>-1169.6400000000001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--25602.45</f>
        <v>25602.45</v>
      </c>
      <c r="U23" s="2"/>
      <c r="V23" s="19"/>
      <c r="W23" s="2"/>
      <c r="X23" s="2">
        <f t="shared" si="2"/>
        <v>-25602.45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--3388.52</f>
        <v>3388.52</v>
      </c>
      <c r="I24" s="2"/>
      <c r="J24" s="19"/>
      <c r="K24" s="2"/>
      <c r="L24" s="2">
        <f t="shared" si="0"/>
        <v>-3388.52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--125123.3</f>
        <v>125123.3</v>
      </c>
      <c r="U24" s="2"/>
      <c r="V24" s="19"/>
      <c r="W24" s="2"/>
      <c r="X24" s="2">
        <f t="shared" si="2"/>
        <v>-125123.3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--17493.72</f>
        <v>17493.72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17493.72</v>
      </c>
      <c r="M25" s="2"/>
      <c r="N25" s="19">
        <f t="shared" si="1"/>
        <v>0</v>
      </c>
      <c r="O25" s="11"/>
      <c r="P25" s="2">
        <f>--245524.52</f>
        <v>245524.52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245524.52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--2539.06</f>
        <v>2539.06</v>
      </c>
      <c r="I27" s="2"/>
      <c r="J27" s="19"/>
      <c r="K27" s="2"/>
      <c r="L27" s="2">
        <f t="shared" si="0"/>
        <v>-2539.06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--5745.17</f>
        <v>5745.17</v>
      </c>
      <c r="U27" s="2"/>
      <c r="V27" s="19"/>
      <c r="W27" s="2"/>
      <c r="X27" s="2">
        <f t="shared" si="2"/>
        <v>-5745.17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--4.72</f>
        <v>4.72</v>
      </c>
      <c r="I28" s="2"/>
      <c r="J28" s="19"/>
      <c r="K28" s="2"/>
      <c r="L28" s="2">
        <f t="shared" si="0"/>
        <v>-4.72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--29.5</f>
        <v>29.5</v>
      </c>
      <c r="U28" s="2"/>
      <c r="V28" s="19"/>
      <c r="W28" s="2"/>
      <c r="X28" s="2">
        <f t="shared" si="2"/>
        <v>-29.5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--1098.12</f>
        <v>1098.1199999999999</v>
      </c>
      <c r="I29" s="2"/>
      <c r="J29" s="19"/>
      <c r="K29" s="2"/>
      <c r="L29" s="2">
        <f t="shared" si="0"/>
        <v>-1098.1199999999999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--6755.61</f>
        <v>6755.61</v>
      </c>
      <c r="U29" s="2"/>
      <c r="V29" s="19"/>
      <c r="W29" s="2"/>
      <c r="X29" s="2">
        <f t="shared" si="2"/>
        <v>-6755.61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--59.25</f>
        <v>59.25</v>
      </c>
      <c r="U33" s="2"/>
      <c r="V33" s="19"/>
      <c r="W33" s="2"/>
      <c r="X33" s="2">
        <f t="shared" si="2"/>
        <v>-59.25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--9206.45</f>
        <v>9206.4500000000007</v>
      </c>
      <c r="I34" s="2"/>
      <c r="J34" s="19"/>
      <c r="K34" s="2"/>
      <c r="L34" s="2">
        <f t="shared" si="0"/>
        <v>-9206.4500000000007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--113011.64</f>
        <v>113011.64</v>
      </c>
      <c r="U34" s="2"/>
      <c r="V34" s="19"/>
      <c r="W34" s="2"/>
      <c r="X34" s="2">
        <f t="shared" si="2"/>
        <v>-113011.64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--1163.92</f>
        <v>1163.92</v>
      </c>
      <c r="I35" s="2"/>
      <c r="J35" s="19"/>
      <c r="K35" s="2"/>
      <c r="L35" s="2">
        <f t="shared" si="0"/>
        <v>-1163.92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--6613.52</f>
        <v>6613.52</v>
      </c>
      <c r="U35" s="2"/>
      <c r="V35" s="19"/>
      <c r="W35" s="2"/>
      <c r="X35" s="2">
        <f t="shared" si="2"/>
        <v>-6613.52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--51.7</f>
        <v>51.7</v>
      </c>
      <c r="I36" s="2"/>
      <c r="J36" s="19"/>
      <c r="K36" s="2"/>
      <c r="L36" s="2">
        <f t="shared" si="0"/>
        <v>-51.7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--1149.3</f>
        <v>1149.3</v>
      </c>
      <c r="U36" s="2"/>
      <c r="V36" s="19"/>
      <c r="W36" s="2"/>
      <c r="X36" s="2">
        <f t="shared" si="2"/>
        <v>-1149.3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--232.71</f>
        <v>232.71</v>
      </c>
      <c r="I37" s="2"/>
      <c r="J37" s="19"/>
      <c r="K37" s="2"/>
      <c r="L37" s="2">
        <f t="shared" si="0"/>
        <v>-232.71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--1969.74</f>
        <v>1969.74</v>
      </c>
      <c r="U37" s="2"/>
      <c r="V37" s="19"/>
      <c r="W37" s="2"/>
      <c r="X37" s="2">
        <f t="shared" si="2"/>
        <v>-1969.74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--119.9</f>
        <v>119.9</v>
      </c>
      <c r="I38" s="2"/>
      <c r="J38" s="19"/>
      <c r="K38" s="2"/>
      <c r="L38" s="2">
        <f t="shared" si="0"/>
        <v>-119.9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--609.4</f>
        <v>609.4</v>
      </c>
      <c r="U38" s="2"/>
      <c r="V38" s="19"/>
      <c r="W38" s="2"/>
      <c r="X38" s="2">
        <f t="shared" si="2"/>
        <v>-609.4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-1677.68</f>
        <v>-1677.68</v>
      </c>
      <c r="I39" s="2"/>
      <c r="J39" s="19"/>
      <c r="K39" s="2"/>
      <c r="L39" s="2">
        <f t="shared" si="0"/>
        <v>1677.68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--53709.09</f>
        <v>53709.09</v>
      </c>
      <c r="U39" s="2"/>
      <c r="V39" s="19"/>
      <c r="W39" s="2"/>
      <c r="X39" s="2">
        <f t="shared" si="2"/>
        <v>-53709.09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-5363.67</f>
        <v>-5363.67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-5363.67</v>
      </c>
      <c r="M40" s="2"/>
      <c r="N40" s="19">
        <f t="shared" si="1"/>
        <v>0</v>
      </c>
      <c r="O40" s="11"/>
      <c r="P40" s="2">
        <f>-55180.49</f>
        <v>-55180.49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-55180.49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-6.38</f>
        <v>-6.38</v>
      </c>
      <c r="U41" s="2"/>
      <c r="V41" s="19"/>
      <c r="W41" s="2"/>
      <c r="X41" s="2">
        <f t="shared" si="2"/>
        <v>6.38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-122.23</f>
        <v>-122.23</v>
      </c>
      <c r="I42" s="2"/>
      <c r="J42" s="19"/>
      <c r="K42" s="2"/>
      <c r="L42" s="2">
        <f t="shared" si="0"/>
        <v>122.23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-559.5</f>
        <v>-559.5</v>
      </c>
      <c r="U42" s="2"/>
      <c r="V42" s="19"/>
      <c r="W42" s="2"/>
      <c r="X42" s="2">
        <f t="shared" si="2"/>
        <v>559.5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-12473.84</f>
        <v>-12473.84</v>
      </c>
      <c r="I43" s="2"/>
      <c r="J43" s="19"/>
      <c r="K43" s="2"/>
      <c r="L43" s="2">
        <f t="shared" si="0"/>
        <v>12473.84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-12506.33</f>
        <v>-12506.33</v>
      </c>
      <c r="U43" s="2"/>
      <c r="V43" s="19"/>
      <c r="W43" s="2"/>
      <c r="X43" s="2">
        <f t="shared" si="2"/>
        <v>12506.33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-4857.17</f>
        <v>-4857.17</v>
      </c>
      <c r="I44" s="2"/>
      <c r="J44" s="19"/>
      <c r="K44" s="2"/>
      <c r="L44" s="2">
        <f t="shared" si="0"/>
        <v>4857.17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-21184.54</f>
        <v>-21184.54</v>
      </c>
      <c r="U44" s="2"/>
      <c r="V44" s="19"/>
      <c r="W44" s="2"/>
      <c r="X44" s="2">
        <f t="shared" si="2"/>
        <v>21184.54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-976.76</f>
        <v>-976.76</v>
      </c>
      <c r="I45" s="2"/>
      <c r="J45" s="19"/>
      <c r="K45" s="2"/>
      <c r="L45" s="2">
        <f t="shared" si="0"/>
        <v>976.76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-3424.01</f>
        <v>-3424.01</v>
      </c>
      <c r="U45" s="2"/>
      <c r="V45" s="19"/>
      <c r="W45" s="2"/>
      <c r="X45" s="2">
        <f t="shared" si="2"/>
        <v>3424.01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-76.86</f>
        <v>-76.86</v>
      </c>
      <c r="I46" s="2"/>
      <c r="J46" s="19"/>
      <c r="K46" s="2"/>
      <c r="L46" s="2">
        <f t="shared" si="0"/>
        <v>76.86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-1442.63</f>
        <v>-1442.63</v>
      </c>
      <c r="U46" s="2"/>
      <c r="V46" s="19"/>
      <c r="W46" s="2"/>
      <c r="X46" s="2">
        <f t="shared" si="2"/>
        <v>1442.63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-1422.25</f>
        <v>-1422.25</v>
      </c>
      <c r="I47" s="2"/>
      <c r="J47" s="19"/>
      <c r="K47" s="2"/>
      <c r="L47" s="2">
        <f t="shared" si="0"/>
        <v>1422.25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-4999.79</f>
        <v>-4999.79</v>
      </c>
      <c r="U47" s="2"/>
      <c r="V47" s="19"/>
      <c r="W47" s="2"/>
      <c r="X47" s="2">
        <f t="shared" si="2"/>
        <v>4999.79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-93.98</f>
        <v>-93.98</v>
      </c>
      <c r="I48" s="2"/>
      <c r="J48" s="19"/>
      <c r="K48" s="2"/>
      <c r="L48" s="2">
        <f t="shared" si="0"/>
        <v>93.98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-954.92</f>
        <v>-954.92</v>
      </c>
      <c r="U48" s="2"/>
      <c r="V48" s="19"/>
      <c r="W48" s="2"/>
      <c r="X48" s="2">
        <f t="shared" si="2"/>
        <v>954.92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 t="shared" ref="H49:H50" si="13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2"/>
        <v>0</v>
      </c>
      <c r="Q49" s="2"/>
      <c r="R49" s="19"/>
      <c r="S49" s="2"/>
      <c r="T49" s="2">
        <f>-11338.61</f>
        <v>-11338.61</v>
      </c>
      <c r="U49" s="2"/>
      <c r="V49" s="19"/>
      <c r="W49" s="2"/>
      <c r="X49" s="2">
        <f t="shared" si="2"/>
        <v>11338.61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-376.59</f>
        <v>-376.59</v>
      </c>
      <c r="E50" s="2"/>
      <c r="F50" s="19"/>
      <c r="G50" s="2"/>
      <c r="H50" s="2">
        <f t="shared" si="13"/>
        <v>0</v>
      </c>
      <c r="I50" s="2"/>
      <c r="J50" s="19"/>
      <c r="K50" s="2"/>
      <c r="L50" s="2">
        <f t="shared" si="0"/>
        <v>-376.59</v>
      </c>
      <c r="M50" s="2"/>
      <c r="N50" s="19">
        <f t="shared" si="1"/>
        <v>0</v>
      </c>
      <c r="O50" s="11"/>
      <c r="P50" s="2">
        <f>-1652.79</f>
        <v>-1652.79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-1652.79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4">0</f>
        <v>0</v>
      </c>
      <c r="E51" s="2"/>
      <c r="F51" s="19"/>
      <c r="G51" s="2"/>
      <c r="H51" s="2">
        <f>-732.22</f>
        <v>-732.22</v>
      </c>
      <c r="I51" s="2"/>
      <c r="J51" s="19"/>
      <c r="K51" s="2"/>
      <c r="L51" s="2">
        <f t="shared" si="0"/>
        <v>732.22</v>
      </c>
      <c r="M51" s="2"/>
      <c r="N51" s="19">
        <f t="shared" si="1"/>
        <v>-1</v>
      </c>
      <c r="O51" s="11"/>
      <c r="P51" s="2">
        <f t="shared" ref="P51:P53" si="15">0</f>
        <v>0</v>
      </c>
      <c r="Q51" s="2"/>
      <c r="R51" s="19"/>
      <c r="S51" s="2"/>
      <c r="T51" s="2">
        <f>-2215.94</f>
        <v>-2215.94</v>
      </c>
      <c r="U51" s="2"/>
      <c r="V51" s="19"/>
      <c r="W51" s="2"/>
      <c r="X51" s="2">
        <f t="shared" si="2"/>
        <v>2215.94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4"/>
        <v>0</v>
      </c>
      <c r="E52" s="2"/>
      <c r="F52" s="19"/>
      <c r="G52" s="2"/>
      <c r="H52" s="2">
        <f>-15.8</f>
        <v>-15.8</v>
      </c>
      <c r="I52" s="2"/>
      <c r="J52" s="19"/>
      <c r="K52" s="2"/>
      <c r="L52" s="2">
        <f t="shared" si="0"/>
        <v>15.8</v>
      </c>
      <c r="M52" s="2"/>
      <c r="N52" s="19">
        <f t="shared" si="1"/>
        <v>-1</v>
      </c>
      <c r="O52" s="11"/>
      <c r="P52" s="2">
        <f t="shared" si="15"/>
        <v>0</v>
      </c>
      <c r="Q52" s="2"/>
      <c r="R52" s="19"/>
      <c r="S52" s="2"/>
      <c r="T52" s="2">
        <f>-351.44</f>
        <v>-351.44</v>
      </c>
      <c r="U52" s="2"/>
      <c r="V52" s="19"/>
      <c r="W52" s="2"/>
      <c r="X52" s="2">
        <f t="shared" si="2"/>
        <v>351.44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4"/>
        <v>0</v>
      </c>
      <c r="E53" s="2"/>
      <c r="F53" s="19"/>
      <c r="G53" s="2"/>
      <c r="H53" s="2">
        <f t="shared" ref="H53:H54" si="16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5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-3983.12</f>
        <v>-3983.12</v>
      </c>
      <c r="E54" s="2"/>
      <c r="F54" s="19"/>
      <c r="G54" s="2"/>
      <c r="H54" s="2">
        <f t="shared" si="16"/>
        <v>0</v>
      </c>
      <c r="I54" s="2"/>
      <c r="J54" s="19"/>
      <c r="K54" s="2"/>
      <c r="L54" s="2">
        <f t="shared" si="0"/>
        <v>-3983.12</v>
      </c>
      <c r="M54" s="2"/>
      <c r="N54" s="19">
        <f t="shared" si="1"/>
        <v>0</v>
      </c>
      <c r="O54" s="11"/>
      <c r="P54" s="2">
        <f>-60478.48</f>
        <v>-60478.48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-60478.48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6" t="s">
        <v>256</v>
      </c>
      <c r="C56" s="10"/>
      <c r="D56" s="4">
        <f>SUM(OSRRefD16x_0)</f>
        <v>71420.520000000019</v>
      </c>
      <c r="E56" s="4"/>
      <c r="F56" s="12">
        <f t="shared" ref="F56:F81" si="17">IF(D$12=0,0,D56/D$12)</f>
        <v>0.47829073449371917</v>
      </c>
      <c r="G56" s="4"/>
      <c r="H56" s="4">
        <f>SUM(OSRRefH16x_0)</f>
        <v>75363.999999999985</v>
      </c>
      <c r="I56" s="4"/>
      <c r="J56" s="12">
        <f t="shared" ref="J56:J81" si="18">IF(H$12=0,0,H56/H$12)</f>
        <v>0.5324600020898792</v>
      </c>
      <c r="K56" s="4"/>
      <c r="L56" s="4">
        <f t="shared" ref="L56:L81" si="19">+D56-H56</f>
        <v>-3943.4799999999668</v>
      </c>
      <c r="M56" s="4"/>
      <c r="N56" s="12">
        <f t="shared" ref="N56:N81" si="20">IF(H56=0,0,L56/H56)</f>
        <v>-5.2325778886470567E-2</v>
      </c>
      <c r="O56" s="10"/>
      <c r="P56" s="4">
        <f>SUM(OSRRefP16x_0)</f>
        <v>992107.7</v>
      </c>
      <c r="Q56" s="4"/>
      <c r="R56" s="12">
        <f t="shared" ref="R56:R81" si="21">IF(P$12=0,0,P56/P$12)</f>
        <v>0.49279073757301284</v>
      </c>
      <c r="S56" s="4"/>
      <c r="T56" s="4">
        <f>SUM(OSRRefT16x_0)</f>
        <v>610031.54</v>
      </c>
      <c r="U56" s="4"/>
      <c r="V56" s="12">
        <f t="shared" ref="V56:V81" si="22">IF(T$12=0,0,T56/T$12)</f>
        <v>0.59391116948274558</v>
      </c>
      <c r="W56" s="4"/>
      <c r="X56" s="4">
        <f t="shared" ref="X56:X81" si="23">+P56-T56</f>
        <v>382076.15999999992</v>
      </c>
      <c r="Y56" s="4"/>
      <c r="Z56" s="12">
        <f t="shared" ref="Z56:Z81" si="24">IF(T56=0,0,X56/T56)</f>
        <v>0.62632197672926859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166985.17000000001</v>
      </c>
      <c r="E57" s="2"/>
      <c r="F57" s="19">
        <f t="shared" si="17"/>
        <v>1.1182704859731984</v>
      </c>
      <c r="G57" s="2"/>
      <c r="H57" s="2"/>
      <c r="I57" s="2"/>
      <c r="J57" s="19">
        <f t="shared" si="18"/>
        <v>0</v>
      </c>
      <c r="K57" s="2"/>
      <c r="L57" s="2">
        <f t="shared" si="19"/>
        <v>166985.17000000001</v>
      </c>
      <c r="M57" s="2"/>
      <c r="N57" s="19">
        <f t="shared" si="20"/>
        <v>0</v>
      </c>
      <c r="O57" s="11"/>
      <c r="P57" s="2">
        <v>1210519.27</v>
      </c>
      <c r="Q57" s="2"/>
      <c r="R57" s="19">
        <f t="shared" si="21"/>
        <v>0.60127815146444796</v>
      </c>
      <c r="S57" s="2"/>
      <c r="T57" s="2"/>
      <c r="U57" s="2"/>
      <c r="V57" s="19">
        <f t="shared" si="22"/>
        <v>0</v>
      </c>
      <c r="W57" s="2"/>
      <c r="X57" s="2">
        <f t="shared" si="23"/>
        <v>1210519.27</v>
      </c>
      <c r="Y57" s="2"/>
      <c r="Z57" s="19">
        <f t="shared" si="24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7"/>
        <v>0</v>
      </c>
      <c r="G58" s="2"/>
      <c r="H58" s="2"/>
      <c r="I58" s="2"/>
      <c r="J58" s="19">
        <f t="shared" si="18"/>
        <v>0</v>
      </c>
      <c r="K58" s="2"/>
      <c r="L58" s="2">
        <f t="shared" si="19"/>
        <v>0</v>
      </c>
      <c r="M58" s="2"/>
      <c r="N58" s="19">
        <f t="shared" si="20"/>
        <v>0</v>
      </c>
      <c r="O58" s="11"/>
      <c r="P58" s="2"/>
      <c r="Q58" s="2"/>
      <c r="R58" s="19">
        <f t="shared" si="21"/>
        <v>0</v>
      </c>
      <c r="S58" s="2"/>
      <c r="T58" s="2">
        <v>599.29</v>
      </c>
      <c r="U58" s="2"/>
      <c r="V58" s="19">
        <f t="shared" si="22"/>
        <v>5.8345347973207183E-4</v>
      </c>
      <c r="W58" s="2"/>
      <c r="X58" s="2">
        <f t="shared" si="23"/>
        <v>-599.29</v>
      </c>
      <c r="Y58" s="2"/>
      <c r="Z58" s="19">
        <f t="shared" si="24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7"/>
        <v>0</v>
      </c>
      <c r="G59" s="2"/>
      <c r="H59" s="2"/>
      <c r="I59" s="2"/>
      <c r="J59" s="19">
        <f t="shared" si="18"/>
        <v>0</v>
      </c>
      <c r="K59" s="2"/>
      <c r="L59" s="2">
        <f t="shared" si="19"/>
        <v>0</v>
      </c>
      <c r="M59" s="2"/>
      <c r="N59" s="19">
        <f t="shared" si="20"/>
        <v>0</v>
      </c>
      <c r="O59" s="11"/>
      <c r="P59" s="2"/>
      <c r="Q59" s="2"/>
      <c r="R59" s="19">
        <f t="shared" si="21"/>
        <v>0</v>
      </c>
      <c r="S59" s="2"/>
      <c r="T59" s="2">
        <v>10</v>
      </c>
      <c r="U59" s="2"/>
      <c r="V59" s="19">
        <f t="shared" si="22"/>
        <v>9.7357452941325878E-6</v>
      </c>
      <c r="W59" s="2"/>
      <c r="X59" s="2">
        <f t="shared" si="23"/>
        <v>-10</v>
      </c>
      <c r="Y59" s="2"/>
      <c r="Z59" s="19">
        <f t="shared" si="24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7"/>
        <v>0</v>
      </c>
      <c r="G60" s="2"/>
      <c r="H60" s="2"/>
      <c r="I60" s="2"/>
      <c r="J60" s="19">
        <f t="shared" si="18"/>
        <v>0</v>
      </c>
      <c r="K60" s="2"/>
      <c r="L60" s="2">
        <f t="shared" si="19"/>
        <v>0</v>
      </c>
      <c r="M60" s="2"/>
      <c r="N60" s="19">
        <f t="shared" si="20"/>
        <v>0</v>
      </c>
      <c r="O60" s="11"/>
      <c r="P60" s="2">
        <v>0</v>
      </c>
      <c r="Q60" s="2"/>
      <c r="R60" s="19">
        <f t="shared" si="21"/>
        <v>0</v>
      </c>
      <c r="S60" s="2"/>
      <c r="T60" s="2">
        <v>18175.88</v>
      </c>
      <c r="U60" s="2"/>
      <c r="V60" s="19">
        <f t="shared" si="22"/>
        <v>1.7695573817671863E-2</v>
      </c>
      <c r="W60" s="2"/>
      <c r="X60" s="2">
        <f t="shared" si="23"/>
        <v>-18175.88</v>
      </c>
      <c r="Y60" s="2"/>
      <c r="Z60" s="19">
        <f t="shared" si="24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7"/>
        <v>0</v>
      </c>
      <c r="G61" s="2"/>
      <c r="H61" s="2"/>
      <c r="I61" s="2"/>
      <c r="J61" s="19">
        <f t="shared" si="18"/>
        <v>0</v>
      </c>
      <c r="K61" s="2"/>
      <c r="L61" s="2">
        <f t="shared" si="19"/>
        <v>0</v>
      </c>
      <c r="M61" s="2"/>
      <c r="N61" s="19">
        <f t="shared" si="20"/>
        <v>0</v>
      </c>
      <c r="O61" s="11"/>
      <c r="P61" s="2">
        <v>0</v>
      </c>
      <c r="Q61" s="2"/>
      <c r="R61" s="19">
        <f t="shared" si="21"/>
        <v>0</v>
      </c>
      <c r="S61" s="2"/>
      <c r="T61" s="2">
        <v>-83.4</v>
      </c>
      <c r="U61" s="2"/>
      <c r="V61" s="19">
        <f t="shared" si="22"/>
        <v>-8.1196115753065783E-5</v>
      </c>
      <c r="W61" s="2"/>
      <c r="X61" s="2">
        <f t="shared" si="23"/>
        <v>83.4</v>
      </c>
      <c r="Y61" s="2"/>
      <c r="Z61" s="19">
        <f t="shared" si="24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7"/>
        <v>0</v>
      </c>
      <c r="G62" s="2"/>
      <c r="H62" s="2">
        <v>239.16</v>
      </c>
      <c r="I62" s="2"/>
      <c r="J62" s="19">
        <f t="shared" si="18"/>
        <v>1.6897077397672036E-3</v>
      </c>
      <c r="K62" s="2"/>
      <c r="L62" s="2">
        <f t="shared" si="19"/>
        <v>-239.16</v>
      </c>
      <c r="M62" s="2"/>
      <c r="N62" s="19">
        <f t="shared" si="20"/>
        <v>-1</v>
      </c>
      <c r="O62" s="11"/>
      <c r="P62" s="2">
        <v>0</v>
      </c>
      <c r="Q62" s="2"/>
      <c r="R62" s="19">
        <f t="shared" si="21"/>
        <v>0</v>
      </c>
      <c r="S62" s="2"/>
      <c r="T62" s="2">
        <v>5072.6899999999996</v>
      </c>
      <c r="U62" s="2"/>
      <c r="V62" s="19">
        <f t="shared" si="22"/>
        <v>4.9386417796093429E-3</v>
      </c>
      <c r="W62" s="2"/>
      <c r="X62" s="2">
        <f t="shared" si="23"/>
        <v>-5072.6899999999996</v>
      </c>
      <c r="Y62" s="2"/>
      <c r="Z62" s="19">
        <f t="shared" si="24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7"/>
        <v>0</v>
      </c>
      <c r="G63" s="2"/>
      <c r="H63" s="2">
        <v>34900.79</v>
      </c>
      <c r="I63" s="2"/>
      <c r="J63" s="19">
        <f t="shared" si="18"/>
        <v>0.24658026002253647</v>
      </c>
      <c r="K63" s="2"/>
      <c r="L63" s="2">
        <f t="shared" si="19"/>
        <v>-34900.79</v>
      </c>
      <c r="M63" s="2"/>
      <c r="N63" s="19">
        <f t="shared" si="20"/>
        <v>-1</v>
      </c>
      <c r="O63" s="11"/>
      <c r="P63" s="2">
        <v>0</v>
      </c>
      <c r="Q63" s="2"/>
      <c r="R63" s="19">
        <f t="shared" si="21"/>
        <v>0</v>
      </c>
      <c r="S63" s="2"/>
      <c r="T63" s="2">
        <v>167371.19</v>
      </c>
      <c r="U63" s="2"/>
      <c r="V63" s="19">
        <f t="shared" si="22"/>
        <v>0.16294832754158711</v>
      </c>
      <c r="W63" s="2"/>
      <c r="X63" s="2">
        <f t="shared" si="23"/>
        <v>-167371.19</v>
      </c>
      <c r="Y63" s="2"/>
      <c r="Z63" s="19">
        <f t="shared" si="24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7"/>
        <v>0</v>
      </c>
      <c r="G64" s="2"/>
      <c r="H64" s="2">
        <v>8769.24</v>
      </c>
      <c r="I64" s="2"/>
      <c r="J64" s="19">
        <f t="shared" si="18"/>
        <v>6.195623306521221E-2</v>
      </c>
      <c r="K64" s="2"/>
      <c r="L64" s="2">
        <f t="shared" si="19"/>
        <v>-8769.24</v>
      </c>
      <c r="M64" s="2"/>
      <c r="N64" s="19">
        <f t="shared" si="20"/>
        <v>-1</v>
      </c>
      <c r="O64" s="11"/>
      <c r="P64" s="2">
        <v>0</v>
      </c>
      <c r="Q64" s="2"/>
      <c r="R64" s="19">
        <f t="shared" si="21"/>
        <v>0</v>
      </c>
      <c r="S64" s="2"/>
      <c r="T64" s="2">
        <v>40763.4</v>
      </c>
      <c r="U64" s="2"/>
      <c r="V64" s="19">
        <f t="shared" si="22"/>
        <v>3.9686207972284435E-2</v>
      </c>
      <c r="W64" s="2"/>
      <c r="X64" s="2">
        <f t="shared" si="23"/>
        <v>-40763.4</v>
      </c>
      <c r="Y64" s="2"/>
      <c r="Z64" s="19">
        <f t="shared" si="24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7"/>
        <v>0</v>
      </c>
      <c r="G65" s="2"/>
      <c r="H65" s="2">
        <v>6760.7</v>
      </c>
      <c r="I65" s="2"/>
      <c r="J65" s="19">
        <f t="shared" si="18"/>
        <v>4.7765542382689971E-2</v>
      </c>
      <c r="K65" s="2"/>
      <c r="L65" s="2">
        <f t="shared" si="19"/>
        <v>-6760.7</v>
      </c>
      <c r="M65" s="2"/>
      <c r="N65" s="19">
        <f t="shared" si="20"/>
        <v>-1</v>
      </c>
      <c r="O65" s="11"/>
      <c r="P65" s="2">
        <v>0</v>
      </c>
      <c r="Q65" s="2"/>
      <c r="R65" s="19">
        <f t="shared" si="21"/>
        <v>0</v>
      </c>
      <c r="S65" s="2"/>
      <c r="T65" s="2">
        <v>9875.94</v>
      </c>
      <c r="U65" s="2"/>
      <c r="V65" s="19">
        <f t="shared" si="22"/>
        <v>9.6149636380135784E-3</v>
      </c>
      <c r="W65" s="2"/>
      <c r="X65" s="2">
        <f t="shared" si="23"/>
        <v>-9875.94</v>
      </c>
      <c r="Y65" s="2"/>
      <c r="Z65" s="19">
        <f t="shared" si="24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7"/>
        <v>0</v>
      </c>
      <c r="G66" s="2"/>
      <c r="H66" s="2">
        <v>8743.1</v>
      </c>
      <c r="I66" s="2"/>
      <c r="J66" s="19">
        <f t="shared" si="18"/>
        <v>6.1771549337508939E-2</v>
      </c>
      <c r="K66" s="2"/>
      <c r="L66" s="2">
        <f t="shared" si="19"/>
        <v>-8743.1</v>
      </c>
      <c r="M66" s="2"/>
      <c r="N66" s="19">
        <f t="shared" si="20"/>
        <v>-1</v>
      </c>
      <c r="O66" s="11"/>
      <c r="P66" s="2">
        <v>0</v>
      </c>
      <c r="Q66" s="2"/>
      <c r="R66" s="19">
        <f t="shared" si="21"/>
        <v>0</v>
      </c>
      <c r="S66" s="2"/>
      <c r="T66" s="2">
        <v>55364.33</v>
      </c>
      <c r="U66" s="2"/>
      <c r="V66" s="19">
        <f t="shared" si="22"/>
        <v>5.3901301526030364E-2</v>
      </c>
      <c r="W66" s="2"/>
      <c r="X66" s="2">
        <f t="shared" si="23"/>
        <v>-55364.33</v>
      </c>
      <c r="Y66" s="2"/>
      <c r="Z66" s="19">
        <f t="shared" si="24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7"/>
        <v>0</v>
      </c>
      <c r="G67" s="2"/>
      <c r="H67" s="2">
        <v>782.5</v>
      </c>
      <c r="I67" s="2"/>
      <c r="J67" s="19">
        <f t="shared" si="18"/>
        <v>5.5285010301381367E-3</v>
      </c>
      <c r="K67" s="2"/>
      <c r="L67" s="2">
        <f t="shared" si="19"/>
        <v>-782.5</v>
      </c>
      <c r="M67" s="2"/>
      <c r="N67" s="19">
        <f t="shared" si="20"/>
        <v>-1</v>
      </c>
      <c r="O67" s="11"/>
      <c r="P67" s="2">
        <v>0</v>
      </c>
      <c r="Q67" s="2"/>
      <c r="R67" s="19">
        <f t="shared" si="21"/>
        <v>0</v>
      </c>
      <c r="S67" s="2"/>
      <c r="T67" s="2">
        <v>1064.83</v>
      </c>
      <c r="U67" s="2"/>
      <c r="V67" s="19">
        <f t="shared" si="22"/>
        <v>1.0366913661551203E-3</v>
      </c>
      <c r="W67" s="2"/>
      <c r="X67" s="2">
        <f t="shared" si="23"/>
        <v>-1064.83</v>
      </c>
      <c r="Y67" s="2"/>
      <c r="Z67" s="19">
        <f t="shared" si="24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7"/>
        <v>0</v>
      </c>
      <c r="G68" s="2"/>
      <c r="H68" s="2">
        <v>5855.38</v>
      </c>
      <c r="I68" s="2"/>
      <c r="J68" s="19">
        <f t="shared" si="18"/>
        <v>4.1369296309073794E-2</v>
      </c>
      <c r="K68" s="2"/>
      <c r="L68" s="2">
        <f t="shared" si="19"/>
        <v>-5855.38</v>
      </c>
      <c r="M68" s="2"/>
      <c r="N68" s="19">
        <f t="shared" si="20"/>
        <v>-1</v>
      </c>
      <c r="O68" s="11"/>
      <c r="P68" s="2">
        <v>0</v>
      </c>
      <c r="Q68" s="2"/>
      <c r="R68" s="19">
        <f t="shared" si="21"/>
        <v>0</v>
      </c>
      <c r="S68" s="2"/>
      <c r="T68" s="2">
        <v>93464.38</v>
      </c>
      <c r="U68" s="2"/>
      <c r="V68" s="19">
        <f t="shared" si="22"/>
        <v>9.0994539775401992E-2</v>
      </c>
      <c r="W68" s="2"/>
      <c r="X68" s="2">
        <f t="shared" si="23"/>
        <v>-93464.38</v>
      </c>
      <c r="Y68" s="2"/>
      <c r="Z68" s="19">
        <f t="shared" si="24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-177423.53</v>
      </c>
      <c r="E69" s="2"/>
      <c r="F69" s="19">
        <f t="shared" si="17"/>
        <v>-1.1881743577359616</v>
      </c>
      <c r="G69" s="2"/>
      <c r="H69" s="2">
        <v>-68791.67</v>
      </c>
      <c r="I69" s="2"/>
      <c r="J69" s="19">
        <f t="shared" si="18"/>
        <v>-0.48602532710533258</v>
      </c>
      <c r="K69" s="2"/>
      <c r="L69" s="2">
        <f t="shared" si="19"/>
        <v>-108631.86</v>
      </c>
      <c r="M69" s="2"/>
      <c r="N69" s="19">
        <f t="shared" si="20"/>
        <v>1.5791426491027185</v>
      </c>
      <c r="O69" s="11"/>
      <c r="P69" s="2">
        <v>-1252807.53</v>
      </c>
      <c r="Q69" s="2"/>
      <c r="R69" s="19">
        <f t="shared" si="21"/>
        <v>-0.62228319238498442</v>
      </c>
      <c r="S69" s="2"/>
      <c r="T69" s="2">
        <v>-409123.33</v>
      </c>
      <c r="U69" s="2"/>
      <c r="V69" s="19">
        <f t="shared" si="22"/>
        <v>-0.39831205347673537</v>
      </c>
      <c r="W69" s="2"/>
      <c r="X69" s="2">
        <f t="shared" si="23"/>
        <v>-843684.2</v>
      </c>
      <c r="Y69" s="2"/>
      <c r="Z69" s="19">
        <f t="shared" si="24"/>
        <v>2.0621757258379763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71420.52</v>
      </c>
      <c r="E70" s="2"/>
      <c r="F70" s="19">
        <f t="shared" si="17"/>
        <v>0.47829073449371906</v>
      </c>
      <c r="G70" s="2"/>
      <c r="H70" s="2">
        <v>75364</v>
      </c>
      <c r="I70" s="2"/>
      <c r="J70" s="19">
        <f t="shared" si="18"/>
        <v>0.53246000208987931</v>
      </c>
      <c r="K70" s="2"/>
      <c r="L70" s="2">
        <f t="shared" si="19"/>
        <v>-3943.4799999999959</v>
      </c>
      <c r="M70" s="2"/>
      <c r="N70" s="19">
        <f t="shared" si="20"/>
        <v>-5.2325778886470942E-2</v>
      </c>
      <c r="O70" s="11"/>
      <c r="P70" s="2">
        <v>992107.7</v>
      </c>
      <c r="Q70" s="2"/>
      <c r="R70" s="19">
        <f t="shared" si="21"/>
        <v>0.49279073757301284</v>
      </c>
      <c r="S70" s="2"/>
      <c r="T70" s="2">
        <v>609115</v>
      </c>
      <c r="U70" s="2"/>
      <c r="V70" s="19">
        <f t="shared" si="22"/>
        <v>0.5930188494835571</v>
      </c>
      <c r="W70" s="2"/>
      <c r="X70" s="2">
        <f t="shared" si="23"/>
        <v>382992.69999999995</v>
      </c>
      <c r="Y70" s="2"/>
      <c r="Z70" s="19">
        <f t="shared" si="24"/>
        <v>0.62876911584840289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10438.36</v>
      </c>
      <c r="E71" s="2"/>
      <c r="F71" s="19">
        <f t="shared" si="17"/>
        <v>6.9903871762763109E-2</v>
      </c>
      <c r="G71" s="2"/>
      <c r="H71" s="2"/>
      <c r="I71" s="2"/>
      <c r="J71" s="19">
        <f t="shared" si="18"/>
        <v>0</v>
      </c>
      <c r="K71" s="2"/>
      <c r="L71" s="2">
        <f t="shared" si="19"/>
        <v>10438.36</v>
      </c>
      <c r="M71" s="2"/>
      <c r="N71" s="19">
        <f t="shared" si="20"/>
        <v>0</v>
      </c>
      <c r="O71" s="11"/>
      <c r="P71" s="2">
        <v>42288.26</v>
      </c>
      <c r="Q71" s="2"/>
      <c r="R71" s="19">
        <f t="shared" si="21"/>
        <v>2.1005040920536486E-2</v>
      </c>
      <c r="S71" s="2"/>
      <c r="T71" s="2"/>
      <c r="U71" s="2"/>
      <c r="V71" s="19">
        <f t="shared" si="22"/>
        <v>0</v>
      </c>
      <c r="W71" s="2"/>
      <c r="X71" s="2">
        <f t="shared" si="23"/>
        <v>42288.26</v>
      </c>
      <c r="Y71" s="2"/>
      <c r="Z71" s="19">
        <f t="shared" si="24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7"/>
        <v>0</v>
      </c>
      <c r="G72" s="2"/>
      <c r="H72" s="2"/>
      <c r="I72" s="2"/>
      <c r="J72" s="19">
        <f t="shared" si="18"/>
        <v>0</v>
      </c>
      <c r="K72" s="2"/>
      <c r="L72" s="2">
        <f t="shared" si="19"/>
        <v>0</v>
      </c>
      <c r="M72" s="2"/>
      <c r="N72" s="19">
        <f t="shared" si="20"/>
        <v>0</v>
      </c>
      <c r="O72" s="11"/>
      <c r="P72" s="2"/>
      <c r="Q72" s="2"/>
      <c r="R72" s="19">
        <f t="shared" si="21"/>
        <v>0</v>
      </c>
      <c r="S72" s="2"/>
      <c r="T72" s="2">
        <v>48.14</v>
      </c>
      <c r="U72" s="2"/>
      <c r="V72" s="19">
        <f t="shared" si="22"/>
        <v>4.6867877845954277E-5</v>
      </c>
      <c r="W72" s="2"/>
      <c r="X72" s="2">
        <f t="shared" si="23"/>
        <v>-48.14</v>
      </c>
      <c r="Y72" s="2"/>
      <c r="Z72" s="19">
        <f t="shared" si="24"/>
        <v>-1</v>
      </c>
    </row>
    <row r="73" spans="1:26" s="24" customFormat="1" hidden="1" outlineLevel="1" x14ac:dyDescent="0.3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17"/>
        <v>0</v>
      </c>
      <c r="G73" s="2"/>
      <c r="H73" s="2"/>
      <c r="I73" s="2"/>
      <c r="J73" s="19">
        <f t="shared" si="18"/>
        <v>0</v>
      </c>
      <c r="K73" s="2"/>
      <c r="L73" s="2">
        <f t="shared" si="19"/>
        <v>0</v>
      </c>
      <c r="M73" s="2"/>
      <c r="N73" s="19">
        <f t="shared" si="20"/>
        <v>0</v>
      </c>
      <c r="O73" s="11"/>
      <c r="P73" s="2"/>
      <c r="Q73" s="2"/>
      <c r="R73" s="19">
        <f t="shared" si="21"/>
        <v>0</v>
      </c>
      <c r="S73" s="2"/>
      <c r="T73" s="2">
        <v>0</v>
      </c>
      <c r="U73" s="2"/>
      <c r="V73" s="19">
        <f t="shared" si="22"/>
        <v>0</v>
      </c>
      <c r="W73" s="2"/>
      <c r="X73" s="2">
        <f t="shared" si="23"/>
        <v>0</v>
      </c>
      <c r="Y73" s="2"/>
      <c r="Z73" s="19">
        <f t="shared" si="24"/>
        <v>0</v>
      </c>
    </row>
    <row r="74" spans="1:26" s="24" customFormat="1" hidden="1" outlineLevel="1" x14ac:dyDescent="0.3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/>
      <c r="E74" s="2"/>
      <c r="F74" s="19">
        <f t="shared" si="17"/>
        <v>0</v>
      </c>
      <c r="G74" s="2"/>
      <c r="H74" s="2"/>
      <c r="I74" s="2"/>
      <c r="J74" s="19">
        <f t="shared" si="18"/>
        <v>0</v>
      </c>
      <c r="K74" s="2"/>
      <c r="L74" s="2">
        <f t="shared" si="19"/>
        <v>0</v>
      </c>
      <c r="M74" s="2"/>
      <c r="N74" s="19">
        <f t="shared" si="20"/>
        <v>0</v>
      </c>
      <c r="O74" s="11"/>
      <c r="P74" s="2">
        <v>0</v>
      </c>
      <c r="Q74" s="2"/>
      <c r="R74" s="19">
        <f t="shared" si="21"/>
        <v>0</v>
      </c>
      <c r="S74" s="2"/>
      <c r="T74" s="2">
        <v>177.5</v>
      </c>
      <c r="U74" s="2"/>
      <c r="V74" s="19">
        <f t="shared" si="22"/>
        <v>1.7280947897085344E-4</v>
      </c>
      <c r="W74" s="2"/>
      <c r="X74" s="2">
        <f t="shared" si="23"/>
        <v>-177.5</v>
      </c>
      <c r="Y74" s="2"/>
      <c r="Z74" s="19">
        <f t="shared" si="24"/>
        <v>-1</v>
      </c>
    </row>
    <row r="75" spans="1:26" s="24" customFormat="1" hidden="1" outlineLevel="1" x14ac:dyDescent="0.3">
      <c r="A75" s="44"/>
      <c r="B75" s="11" t="str">
        <f>CONCATENATE("          ", "5528", " - ", "FREIGHT-IN-ART/TECH")</f>
        <v xml:space="preserve">          5528 - FREIGHT-IN-ART/TECH</v>
      </c>
      <c r="C75" s="11"/>
      <c r="D75" s="2"/>
      <c r="E75" s="2"/>
      <c r="F75" s="19">
        <f t="shared" si="17"/>
        <v>0</v>
      </c>
      <c r="G75" s="2"/>
      <c r="H75" s="2">
        <v>30.01</v>
      </c>
      <c r="I75" s="2"/>
      <c r="J75" s="19">
        <f t="shared" si="18"/>
        <v>2.1202596282996229E-4</v>
      </c>
      <c r="K75" s="2"/>
      <c r="L75" s="2">
        <f t="shared" si="19"/>
        <v>-30.01</v>
      </c>
      <c r="M75" s="2"/>
      <c r="N75" s="19">
        <f t="shared" si="20"/>
        <v>-1</v>
      </c>
      <c r="O75" s="11"/>
      <c r="P75" s="2"/>
      <c r="Q75" s="2"/>
      <c r="R75" s="19">
        <f t="shared" si="21"/>
        <v>0</v>
      </c>
      <c r="S75" s="2"/>
      <c r="T75" s="2">
        <v>33.950000000000003</v>
      </c>
      <c r="U75" s="2"/>
      <c r="V75" s="19">
        <f t="shared" si="22"/>
        <v>3.3052855273580136E-5</v>
      </c>
      <c r="W75" s="2"/>
      <c r="X75" s="2">
        <f t="shared" si="23"/>
        <v>-33.950000000000003</v>
      </c>
      <c r="Y75" s="2"/>
      <c r="Z75" s="19">
        <f t="shared" si="24"/>
        <v>-1</v>
      </c>
    </row>
    <row r="76" spans="1:26" s="24" customFormat="1" hidden="1" outlineLevel="1" x14ac:dyDescent="0.3">
      <c r="A76" s="44"/>
      <c r="B76" s="11" t="str">
        <f>CONCATENATE("          ", "5540", " - ", "FREIGHT-IN-LOGO CLOTHING")</f>
        <v xml:space="preserve">          5540 - FREIGHT-IN-LOGO CLOTHING</v>
      </c>
      <c r="C76" s="11"/>
      <c r="D76" s="2"/>
      <c r="E76" s="2"/>
      <c r="F76" s="19">
        <f t="shared" si="17"/>
        <v>0</v>
      </c>
      <c r="G76" s="2"/>
      <c r="H76" s="2">
        <v>347.67</v>
      </c>
      <c r="I76" s="2"/>
      <c r="J76" s="19">
        <f t="shared" si="18"/>
        <v>2.4563500998698098E-3</v>
      </c>
      <c r="K76" s="2"/>
      <c r="L76" s="2">
        <f t="shared" si="19"/>
        <v>-347.67</v>
      </c>
      <c r="M76" s="2"/>
      <c r="N76" s="19">
        <f t="shared" si="20"/>
        <v>-1</v>
      </c>
      <c r="O76" s="11"/>
      <c r="P76" s="2">
        <v>0</v>
      </c>
      <c r="Q76" s="2"/>
      <c r="R76" s="19">
        <f t="shared" si="21"/>
        <v>0</v>
      </c>
      <c r="S76" s="2"/>
      <c r="T76" s="2">
        <v>5790.63</v>
      </c>
      <c r="U76" s="2"/>
      <c r="V76" s="19">
        <f t="shared" si="22"/>
        <v>5.6376098772562989E-3</v>
      </c>
      <c r="W76" s="2"/>
      <c r="X76" s="2">
        <f t="shared" si="23"/>
        <v>-5790.63</v>
      </c>
      <c r="Y76" s="2"/>
      <c r="Z76" s="19">
        <f t="shared" si="24"/>
        <v>-1</v>
      </c>
    </row>
    <row r="77" spans="1:26" s="24" customFormat="1" hidden="1" outlineLevel="1" x14ac:dyDescent="0.3">
      <c r="A77" s="44"/>
      <c r="B77" s="11" t="str">
        <f>CONCATENATE("          ", "5541", " - ", "FREIGHT-IN-LOGO GIFTS")</f>
        <v xml:space="preserve">          5541 - FREIGHT-IN-LOGO GIFTS</v>
      </c>
      <c r="C77" s="11"/>
      <c r="D77" s="2"/>
      <c r="E77" s="2"/>
      <c r="F77" s="19">
        <f t="shared" si="17"/>
        <v>0</v>
      </c>
      <c r="G77" s="2"/>
      <c r="H77" s="2">
        <v>182.93</v>
      </c>
      <c r="I77" s="2"/>
      <c r="J77" s="19">
        <f t="shared" si="18"/>
        <v>1.2924328350711431E-3</v>
      </c>
      <c r="K77" s="2"/>
      <c r="L77" s="2">
        <f t="shared" si="19"/>
        <v>-182.93</v>
      </c>
      <c r="M77" s="2"/>
      <c r="N77" s="19">
        <f t="shared" si="20"/>
        <v>-1</v>
      </c>
      <c r="O77" s="11"/>
      <c r="P77" s="2">
        <v>0</v>
      </c>
      <c r="Q77" s="2"/>
      <c r="R77" s="19">
        <f t="shared" si="21"/>
        <v>0</v>
      </c>
      <c r="S77" s="2"/>
      <c r="T77" s="2">
        <v>1702.87</v>
      </c>
      <c r="U77" s="2"/>
      <c r="V77" s="19">
        <f t="shared" si="22"/>
        <v>1.6578708589019559E-3</v>
      </c>
      <c r="W77" s="2"/>
      <c r="X77" s="2">
        <f t="shared" si="23"/>
        <v>-1702.87</v>
      </c>
      <c r="Y77" s="2"/>
      <c r="Z77" s="19">
        <f t="shared" si="24"/>
        <v>-1</v>
      </c>
    </row>
    <row r="78" spans="1:26" s="24" customFormat="1" hidden="1" outlineLevel="1" x14ac:dyDescent="0.3">
      <c r="A78" s="44"/>
      <c r="B78" s="11" t="str">
        <f>CONCATENATE("          ", "5542", " - ", "FREIGHT-IN-EVERYDAY GIFTS")</f>
        <v xml:space="preserve">          5542 - FREIGHT-IN-EVERYDAY GIFTS</v>
      </c>
      <c r="C78" s="11"/>
      <c r="D78" s="2"/>
      <c r="E78" s="2"/>
      <c r="F78" s="19">
        <f t="shared" si="17"/>
        <v>0</v>
      </c>
      <c r="G78" s="2"/>
      <c r="H78" s="2">
        <v>187.38</v>
      </c>
      <c r="I78" s="2"/>
      <c r="J78" s="19">
        <f t="shared" si="18"/>
        <v>1.3238728728783183E-3</v>
      </c>
      <c r="K78" s="2"/>
      <c r="L78" s="2">
        <f t="shared" si="19"/>
        <v>-187.38</v>
      </c>
      <c r="M78" s="2"/>
      <c r="N78" s="19">
        <f t="shared" si="20"/>
        <v>-1</v>
      </c>
      <c r="O78" s="11"/>
      <c r="P78" s="2">
        <v>0</v>
      </c>
      <c r="Q78" s="2"/>
      <c r="R78" s="19">
        <f t="shared" si="21"/>
        <v>0</v>
      </c>
      <c r="S78" s="2"/>
      <c r="T78" s="2">
        <v>383.93</v>
      </c>
      <c r="U78" s="2"/>
      <c r="V78" s="19">
        <f t="shared" si="22"/>
        <v>3.7378446907763242E-4</v>
      </c>
      <c r="W78" s="2"/>
      <c r="X78" s="2">
        <f t="shared" si="23"/>
        <v>-383.93</v>
      </c>
      <c r="Y78" s="2"/>
      <c r="Z78" s="19">
        <f t="shared" si="24"/>
        <v>-1</v>
      </c>
    </row>
    <row r="79" spans="1:26" s="24" customFormat="1" hidden="1" outlineLevel="1" x14ac:dyDescent="0.3">
      <c r="A79" s="44"/>
      <c r="B79" s="11" t="str">
        <f>CONCATENATE("          ", "5543", " - ", "FREIGHT-IN-CARDS")</f>
        <v xml:space="preserve">          5543 - FREIGHT-IN-CARDS</v>
      </c>
      <c r="C79" s="11"/>
      <c r="D79" s="2"/>
      <c r="E79" s="2"/>
      <c r="F79" s="19">
        <f t="shared" si="17"/>
        <v>0</v>
      </c>
      <c r="G79" s="2"/>
      <c r="H79" s="2">
        <v>1992.81</v>
      </c>
      <c r="I79" s="2"/>
      <c r="J79" s="19">
        <f t="shared" si="18"/>
        <v>1.4079555447756652E-2</v>
      </c>
      <c r="K79" s="2"/>
      <c r="L79" s="2">
        <f t="shared" si="19"/>
        <v>-1992.81</v>
      </c>
      <c r="M79" s="2"/>
      <c r="N79" s="19">
        <f t="shared" si="20"/>
        <v>-1</v>
      </c>
      <c r="O79" s="11"/>
      <c r="P79" s="2"/>
      <c r="Q79" s="2"/>
      <c r="R79" s="19">
        <f t="shared" si="21"/>
        <v>0</v>
      </c>
      <c r="S79" s="2"/>
      <c r="T79" s="2">
        <v>9110.5300000000007</v>
      </c>
      <c r="U79" s="2"/>
      <c r="V79" s="19">
        <f t="shared" si="22"/>
        <v>8.8697799574553766E-3</v>
      </c>
      <c r="W79" s="2"/>
      <c r="X79" s="2">
        <f t="shared" si="23"/>
        <v>-9110.5300000000007</v>
      </c>
      <c r="Y79" s="2"/>
      <c r="Z79" s="19">
        <f t="shared" si="24"/>
        <v>-1</v>
      </c>
    </row>
    <row r="80" spans="1:26" s="24" customFormat="1" hidden="1" outlineLevel="1" x14ac:dyDescent="0.3">
      <c r="A80" s="44"/>
      <c r="B80" s="11" t="str">
        <f>CONCATENATE("          ", "5544", " - ", "FREIGHT-IN-ACCESSORIES")</f>
        <v xml:space="preserve">          5544 - FREIGHT-IN-ACCESSORIES</v>
      </c>
      <c r="C80" s="11"/>
      <c r="D80" s="2"/>
      <c r="E80" s="2"/>
      <c r="F80" s="19">
        <f t="shared" si="17"/>
        <v>0</v>
      </c>
      <c r="G80" s="2"/>
      <c r="H80" s="2"/>
      <c r="I80" s="2"/>
      <c r="J80" s="19">
        <f t="shared" si="18"/>
        <v>0</v>
      </c>
      <c r="K80" s="2"/>
      <c r="L80" s="2">
        <f t="shared" si="19"/>
        <v>0</v>
      </c>
      <c r="M80" s="2"/>
      <c r="N80" s="19">
        <f t="shared" si="20"/>
        <v>0</v>
      </c>
      <c r="O80" s="11"/>
      <c r="P80" s="2">
        <v>0</v>
      </c>
      <c r="Q80" s="2"/>
      <c r="R80" s="19">
        <f t="shared" si="21"/>
        <v>0</v>
      </c>
      <c r="S80" s="2"/>
      <c r="T80" s="2"/>
      <c r="U80" s="2"/>
      <c r="V80" s="19">
        <f t="shared" si="22"/>
        <v>0</v>
      </c>
      <c r="W80" s="2"/>
      <c r="X80" s="2">
        <f t="shared" si="23"/>
        <v>0</v>
      </c>
      <c r="Y80" s="2"/>
      <c r="Z80" s="19">
        <f t="shared" si="24"/>
        <v>0</v>
      </c>
    </row>
    <row r="81" spans="1:26" s="24" customFormat="1" hidden="1" outlineLevel="1" x14ac:dyDescent="0.3">
      <c r="A81" s="44"/>
      <c r="B81" s="11" t="str">
        <f>CONCATENATE("          ", "5545", " - ", "FREIGHT-IN-SPECIAL ORDERS")</f>
        <v xml:space="preserve">          5545 - FREIGHT-IN-SPECIAL ORDERS</v>
      </c>
      <c r="C81" s="11"/>
      <c r="D81" s="2"/>
      <c r="E81" s="2"/>
      <c r="F81" s="19">
        <f t="shared" si="17"/>
        <v>0</v>
      </c>
      <c r="G81" s="2"/>
      <c r="H81" s="2"/>
      <c r="I81" s="2"/>
      <c r="J81" s="19">
        <f t="shared" si="18"/>
        <v>0</v>
      </c>
      <c r="K81" s="2"/>
      <c r="L81" s="2">
        <f t="shared" si="19"/>
        <v>0</v>
      </c>
      <c r="M81" s="2"/>
      <c r="N81" s="19">
        <f t="shared" si="20"/>
        <v>0</v>
      </c>
      <c r="O81" s="11"/>
      <c r="P81" s="2">
        <v>0</v>
      </c>
      <c r="Q81" s="2"/>
      <c r="R81" s="19">
        <f t="shared" si="21"/>
        <v>0</v>
      </c>
      <c r="S81" s="2"/>
      <c r="T81" s="2">
        <v>1113.79</v>
      </c>
      <c r="U81" s="2"/>
      <c r="V81" s="19">
        <f t="shared" si="22"/>
        <v>1.0843575751151935E-3</v>
      </c>
      <c r="W81" s="2"/>
      <c r="X81" s="2">
        <f t="shared" si="23"/>
        <v>-1113.79</v>
      </c>
      <c r="Y81" s="2"/>
      <c r="Z81" s="19">
        <f t="shared" si="24"/>
        <v>-1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5" t="s">
        <v>107</v>
      </c>
      <c r="C83" s="25"/>
      <c r="D83" s="21">
        <f>D12-D56</f>
        <v>77903.969999999972</v>
      </c>
      <c r="E83" s="13"/>
      <c r="F83" s="22">
        <f>IF(D$12=0,0,D83/D$12)</f>
        <v>0.52170926550628083</v>
      </c>
      <c r="G83" s="13"/>
      <c r="H83" s="21">
        <f>H12-H56</f>
        <v>66175.270000000033</v>
      </c>
      <c r="I83" s="13"/>
      <c r="J83" s="22">
        <f>IF(H$12=0,0,H83/H$12)</f>
        <v>0.4675399979101208</v>
      </c>
      <c r="K83" s="15"/>
      <c r="L83" s="21">
        <f>+D83-H83</f>
        <v>11728.699999999939</v>
      </c>
      <c r="M83" s="15"/>
      <c r="N83" s="22">
        <f>IF(H83=0,0,L83/H83)</f>
        <v>0.17723690436019277</v>
      </c>
      <c r="O83" s="26"/>
      <c r="P83" s="21">
        <f>P12-P56</f>
        <v>1021135.6999999997</v>
      </c>
      <c r="Q83" s="13"/>
      <c r="R83" s="22">
        <f>IF(P$12=0,0,P83/P$12)</f>
        <v>0.50720926242698716</v>
      </c>
      <c r="S83" s="13"/>
      <c r="T83" s="21">
        <f>T12-T56</f>
        <v>417111.19000000006</v>
      </c>
      <c r="U83" s="13"/>
      <c r="V83" s="22">
        <f>IF(T$12=0,0,T83/T$12)</f>
        <v>0.40608883051725442</v>
      </c>
      <c r="W83" s="15"/>
      <c r="X83" s="21">
        <f>+P83-T83</f>
        <v>604024.50999999966</v>
      </c>
      <c r="Y83" s="15"/>
      <c r="Z83" s="22">
        <f>IF(T83=0,0,X83/T83)</f>
        <v>1.4481138950024321</v>
      </c>
    </row>
    <row r="84" spans="1:26" x14ac:dyDescent="0.3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6" t="s">
        <v>294</v>
      </c>
      <c r="C85" s="10"/>
      <c r="D85" s="20">
        <f>SUM(OSRRefD22x_0)</f>
        <v>109887.09000000001</v>
      </c>
      <c r="E85" s="20"/>
      <c r="F85" s="30">
        <f t="shared" ref="F85:F94" si="25">IF(D$12=0,0,D85/D$12)</f>
        <v>0.735894627867137</v>
      </c>
      <c r="G85" s="20"/>
      <c r="H85" s="20">
        <f>SUM(OSRRefH22x_0)</f>
        <v>56259.05999999999</v>
      </c>
      <c r="I85" s="20"/>
      <c r="J85" s="30">
        <f t="shared" ref="J85:J94" si="26">IF(H$12=0,0,H85/H$12)</f>
        <v>0.39748021874070694</v>
      </c>
      <c r="K85" s="4"/>
      <c r="L85" s="20">
        <f t="shared" ref="L85:L94" si="27">+D85-H85</f>
        <v>53628.030000000021</v>
      </c>
      <c r="M85" s="4"/>
      <c r="N85" s="30">
        <f t="shared" ref="N85:N94" si="28">IF(H85=0,0,L85/H85)</f>
        <v>0.95323366583089075</v>
      </c>
      <c r="O85" s="10"/>
      <c r="P85" s="20">
        <f>SUM(OSRRefP22x_0)</f>
        <v>561863.71000000008</v>
      </c>
      <c r="Q85" s="20"/>
      <c r="R85" s="30">
        <f t="shared" ref="R85:R94" si="29">IF(P$12=0,0,P85/P$12)</f>
        <v>0.27908384550025106</v>
      </c>
      <c r="S85" s="20"/>
      <c r="T85" s="20">
        <f>SUM(OSRRefT22x_0)</f>
        <v>331917.57999999996</v>
      </c>
      <c r="U85" s="20"/>
      <c r="V85" s="30">
        <f t="shared" ref="V85:V94" si="30">IF(T$12=0,0,T85/T$12)</f>
        <v>0.3231465017524876</v>
      </c>
      <c r="W85" s="4"/>
      <c r="X85" s="20">
        <f t="shared" ref="X85:X94" si="31">+P85-T85</f>
        <v>229946.13000000012</v>
      </c>
      <c r="Y85" s="4"/>
      <c r="Z85" s="30">
        <f t="shared" ref="Z85:Z94" si="32">IF(T85=0,0,X85/T85)</f>
        <v>0.69278081022403259</v>
      </c>
    </row>
    <row r="86" spans="1:26" s="29" customFormat="1" outlineLevel="1" collapsed="1" x14ac:dyDescent="0.3">
      <c r="A86" s="28"/>
      <c r="B86" s="14" t="str">
        <f>CONCATENATE("     ","*Benefits                                         ")</f>
        <v xml:space="preserve">     *Benefits                                         </v>
      </c>
      <c r="C86" s="14"/>
      <c r="D86" s="1">
        <f>SUM(OSRRefD22_0x_0)</f>
        <v>17597.28</v>
      </c>
      <c r="E86" s="1"/>
      <c r="F86" s="5">
        <f t="shared" si="25"/>
        <v>0.11784590725874905</v>
      </c>
      <c r="G86" s="1"/>
      <c r="H86" s="1">
        <f>SUM(OSRRefH22_0x_0)</f>
        <v>9718.3900000000012</v>
      </c>
      <c r="I86" s="1"/>
      <c r="J86" s="5">
        <f t="shared" si="26"/>
        <v>6.866214584828649E-2</v>
      </c>
      <c r="K86" s="1"/>
      <c r="L86" s="1">
        <f t="shared" si="27"/>
        <v>7878.8899999999976</v>
      </c>
      <c r="M86" s="1"/>
      <c r="N86" s="5">
        <f t="shared" si="28"/>
        <v>0.81071967681889656</v>
      </c>
      <c r="O86" s="14"/>
      <c r="P86" s="1">
        <f>SUM(OSRRefP22_0x_0)</f>
        <v>96075.99</v>
      </c>
      <c r="Q86" s="1"/>
      <c r="R86" s="5">
        <f t="shared" si="29"/>
        <v>4.7721994270538783E-2</v>
      </c>
      <c r="S86" s="1"/>
      <c r="T86" s="1">
        <f>SUM(OSRRefT22_0x_0)</f>
        <v>71571.869999999981</v>
      </c>
      <c r="U86" s="1"/>
      <c r="V86" s="5">
        <f t="shared" si="30"/>
        <v>6.9680549654476912E-2</v>
      </c>
      <c r="W86" s="1"/>
      <c r="X86" s="1">
        <f t="shared" si="31"/>
        <v>24504.120000000024</v>
      </c>
      <c r="Y86" s="1"/>
      <c r="Z86" s="5">
        <f t="shared" si="32"/>
        <v>0.34237082250331075</v>
      </c>
    </row>
    <row r="87" spans="1:26" s="24" customFormat="1" hidden="1" outlineLevel="2" x14ac:dyDescent="0.3">
      <c r="A87" s="27"/>
      <c r="B87" s="11" t="str">
        <f>CONCATENATE("          ", "6111", " - ", "F.I.C.A.")</f>
        <v xml:space="preserve">          6111 - F.I.C.A.</v>
      </c>
      <c r="C87" s="11"/>
      <c r="D87" s="7">
        <v>2103.94</v>
      </c>
      <c r="E87" s="2"/>
      <c r="F87" s="6">
        <f t="shared" si="25"/>
        <v>1.4089718304077249E-2</v>
      </c>
      <c r="G87" s="2"/>
      <c r="H87" s="7">
        <v>1873.4</v>
      </c>
      <c r="I87" s="2"/>
      <c r="J87" s="6">
        <f t="shared" si="26"/>
        <v>1.3235902657969055E-2</v>
      </c>
      <c r="K87" s="2"/>
      <c r="L87" s="7">
        <f t="shared" si="27"/>
        <v>230.53999999999996</v>
      </c>
      <c r="M87" s="2"/>
      <c r="N87" s="6">
        <f t="shared" si="28"/>
        <v>0.12305967759154476</v>
      </c>
      <c r="O87" s="11"/>
      <c r="P87" s="7">
        <v>17716.740000000002</v>
      </c>
      <c r="Q87" s="2"/>
      <c r="R87" s="6">
        <f t="shared" si="29"/>
        <v>8.8000983885008661E-3</v>
      </c>
      <c r="S87" s="2"/>
      <c r="T87" s="7">
        <v>16275.06</v>
      </c>
      <c r="U87" s="2"/>
      <c r="V87" s="6">
        <f t="shared" si="30"/>
        <v>1.5844983880672552E-2</v>
      </c>
      <c r="W87" s="2"/>
      <c r="X87" s="7">
        <f t="shared" si="31"/>
        <v>1441.6800000000021</v>
      </c>
      <c r="Y87" s="2"/>
      <c r="Z87" s="6">
        <f t="shared" si="32"/>
        <v>8.8582161909080651E-2</v>
      </c>
    </row>
    <row r="88" spans="1:26" s="24" customFormat="1" hidden="1" outlineLevel="2" x14ac:dyDescent="0.3">
      <c r="A88" s="27"/>
      <c r="B88" s="11" t="str">
        <f>CONCATENATE("          ", "6112", " - ", "COMPENSATION INSURANCE")</f>
        <v xml:space="preserve">          6112 - COMPENSATION INSURANCE</v>
      </c>
      <c r="C88" s="11"/>
      <c r="D88" s="7">
        <v>801.85</v>
      </c>
      <c r="E88" s="2"/>
      <c r="F88" s="6">
        <f t="shared" si="25"/>
        <v>5.3698492457600229E-3</v>
      </c>
      <c r="G88" s="2"/>
      <c r="H88" s="7">
        <v>284.89</v>
      </c>
      <c r="I88" s="2"/>
      <c r="J88" s="6">
        <f t="shared" si="26"/>
        <v>2.012798285592401E-3</v>
      </c>
      <c r="K88" s="2"/>
      <c r="L88" s="7">
        <f t="shared" si="27"/>
        <v>516.96</v>
      </c>
      <c r="M88" s="2"/>
      <c r="N88" s="6">
        <f t="shared" si="28"/>
        <v>1.8145951068833588</v>
      </c>
      <c r="O88" s="11"/>
      <c r="P88" s="7">
        <v>5968.74</v>
      </c>
      <c r="Q88" s="2"/>
      <c r="R88" s="6">
        <f t="shared" si="29"/>
        <v>2.9647383917910772E-3</v>
      </c>
      <c r="S88" s="2"/>
      <c r="T88" s="7">
        <v>5977</v>
      </c>
      <c r="U88" s="2"/>
      <c r="V88" s="6">
        <f t="shared" si="30"/>
        <v>5.8190549623030477E-3</v>
      </c>
      <c r="W88" s="2"/>
      <c r="X88" s="7">
        <f t="shared" si="31"/>
        <v>-8.2600000000002183</v>
      </c>
      <c r="Y88" s="2"/>
      <c r="Z88" s="6">
        <f t="shared" si="32"/>
        <v>-1.3819641960850289E-3</v>
      </c>
    </row>
    <row r="89" spans="1:26" s="24" customFormat="1" hidden="1" outlineLevel="2" x14ac:dyDescent="0.3">
      <c r="A89" s="27"/>
      <c r="B89" s="11" t="str">
        <f>CONCATENATE("          ", "6113", " - ", "GROUP INSURANCE")</f>
        <v xml:space="preserve">          6113 - GROUP INSURANCE</v>
      </c>
      <c r="C89" s="11"/>
      <c r="D89" s="7">
        <v>3945.42</v>
      </c>
      <c r="E89" s="2"/>
      <c r="F89" s="6">
        <f t="shared" si="25"/>
        <v>2.6421787879536706E-2</v>
      </c>
      <c r="G89" s="2"/>
      <c r="H89" s="7">
        <v>2823.95</v>
      </c>
      <c r="I89" s="2"/>
      <c r="J89" s="6">
        <f t="shared" si="26"/>
        <v>1.9951706688892769E-2</v>
      </c>
      <c r="K89" s="2"/>
      <c r="L89" s="7">
        <f t="shared" si="27"/>
        <v>1121.4700000000003</v>
      </c>
      <c r="M89" s="2"/>
      <c r="N89" s="6">
        <f t="shared" si="28"/>
        <v>0.39712813612139036</v>
      </c>
      <c r="O89" s="11"/>
      <c r="P89" s="7">
        <v>29674.5</v>
      </c>
      <c r="Q89" s="2"/>
      <c r="R89" s="6">
        <f t="shared" si="29"/>
        <v>1.4739648469728004E-2</v>
      </c>
      <c r="S89" s="2"/>
      <c r="T89" s="7">
        <v>20653</v>
      </c>
      <c r="U89" s="2"/>
      <c r="V89" s="6">
        <f t="shared" si="30"/>
        <v>2.0107234755972033E-2</v>
      </c>
      <c r="W89" s="2"/>
      <c r="X89" s="7">
        <f t="shared" si="31"/>
        <v>9021.5</v>
      </c>
      <c r="Y89" s="2"/>
      <c r="Z89" s="6">
        <f t="shared" si="32"/>
        <v>0.43681305379363772</v>
      </c>
    </row>
    <row r="90" spans="1:26" s="24" customFormat="1" hidden="1" outlineLevel="2" x14ac:dyDescent="0.3">
      <c r="A90" s="27"/>
      <c r="B90" s="11" t="str">
        <f>CONCATENATE("          ", "6114", " - ", "STATE UNEMPLOYMENT INSURANCE")</f>
        <v xml:space="preserve">          6114 - STATE UNEMPLOYMENT INSURANCE</v>
      </c>
      <c r="C90" s="11"/>
      <c r="D90" s="7">
        <v>140.97</v>
      </c>
      <c r="E90" s="2"/>
      <c r="F90" s="6">
        <f t="shared" si="25"/>
        <v>9.440514412605729E-4</v>
      </c>
      <c r="G90" s="2"/>
      <c r="H90" s="7">
        <v>163.96</v>
      </c>
      <c r="I90" s="2"/>
      <c r="J90" s="6">
        <f t="shared" si="26"/>
        <v>1.1584064267111168E-3</v>
      </c>
      <c r="K90" s="2"/>
      <c r="L90" s="7">
        <f t="shared" si="27"/>
        <v>-22.990000000000009</v>
      </c>
      <c r="M90" s="2"/>
      <c r="N90" s="6">
        <f t="shared" si="28"/>
        <v>-0.14021712612832404</v>
      </c>
      <c r="O90" s="11"/>
      <c r="P90" s="7">
        <v>1048.6600000000001</v>
      </c>
      <c r="Q90" s="2"/>
      <c r="R90" s="6">
        <f t="shared" si="29"/>
        <v>5.2088088305666386E-4</v>
      </c>
      <c r="S90" s="2"/>
      <c r="T90" s="7">
        <v>666.24</v>
      </c>
      <c r="U90" s="2"/>
      <c r="V90" s="6">
        <f t="shared" si="30"/>
        <v>6.4863429447628953E-4</v>
      </c>
      <c r="W90" s="2"/>
      <c r="X90" s="7">
        <f t="shared" si="31"/>
        <v>382.42000000000007</v>
      </c>
      <c r="Y90" s="2"/>
      <c r="Z90" s="6">
        <f t="shared" si="32"/>
        <v>0.57399735830931808</v>
      </c>
    </row>
    <row r="91" spans="1:26" s="24" customFormat="1" hidden="1" outlineLevel="2" x14ac:dyDescent="0.3">
      <c r="A91" s="27"/>
      <c r="B91" s="11" t="str">
        <f>CONCATENATE("          ", "6115", " - ", "P.E.R.S.")</f>
        <v xml:space="preserve">          6115 - P.E.R.S.</v>
      </c>
      <c r="C91" s="11"/>
      <c r="D91" s="7">
        <v>1550.21</v>
      </c>
      <c r="E91" s="2"/>
      <c r="F91" s="6">
        <f t="shared" si="25"/>
        <v>1.0381485314297743E-2</v>
      </c>
      <c r="G91" s="2"/>
      <c r="H91" s="7">
        <v>2291.9</v>
      </c>
      <c r="I91" s="2"/>
      <c r="J91" s="6">
        <f t="shared" si="26"/>
        <v>1.6192679247250603E-2</v>
      </c>
      <c r="K91" s="2"/>
      <c r="L91" s="7">
        <f t="shared" si="27"/>
        <v>-741.69</v>
      </c>
      <c r="M91" s="2"/>
      <c r="N91" s="6">
        <f t="shared" si="28"/>
        <v>-0.32361359570661896</v>
      </c>
      <c r="O91" s="11"/>
      <c r="P91" s="7">
        <v>11358.29</v>
      </c>
      <c r="Q91" s="2"/>
      <c r="R91" s="6">
        <f t="shared" si="29"/>
        <v>5.641786780475725E-3</v>
      </c>
      <c r="S91" s="2"/>
      <c r="T91" s="7">
        <v>11606.88</v>
      </c>
      <c r="U91" s="2"/>
      <c r="V91" s="6">
        <f t="shared" si="30"/>
        <v>1.1300162733956164E-2</v>
      </c>
      <c r="W91" s="2"/>
      <c r="X91" s="7">
        <f t="shared" si="31"/>
        <v>-248.58999999999833</v>
      </c>
      <c r="Y91" s="2"/>
      <c r="Z91" s="6">
        <f t="shared" si="32"/>
        <v>-2.1417469638696906E-2</v>
      </c>
    </row>
    <row r="92" spans="1:26" s="24" customFormat="1" hidden="1" outlineLevel="2" x14ac:dyDescent="0.3">
      <c r="A92" s="27"/>
      <c r="B92" s="11" t="str">
        <f>CONCATENATE("          ", "6118", " - ", "VACATION")</f>
        <v xml:space="preserve">          6118 - VACATION</v>
      </c>
      <c r="C92" s="11"/>
      <c r="D92" s="7">
        <v>3218.84</v>
      </c>
      <c r="E92" s="2"/>
      <c r="F92" s="6">
        <f t="shared" si="25"/>
        <v>2.1556008662745142E-2</v>
      </c>
      <c r="G92" s="2"/>
      <c r="H92" s="7">
        <v>1290.6199999999999</v>
      </c>
      <c r="I92" s="2"/>
      <c r="J92" s="6">
        <f t="shared" si="26"/>
        <v>9.1184587853250891E-3</v>
      </c>
      <c r="K92" s="2"/>
      <c r="L92" s="7">
        <f t="shared" si="27"/>
        <v>1928.2200000000003</v>
      </c>
      <c r="M92" s="2"/>
      <c r="N92" s="6">
        <f t="shared" si="28"/>
        <v>1.494026126977732</v>
      </c>
      <c r="O92" s="11"/>
      <c r="P92" s="7">
        <v>13786.01</v>
      </c>
      <c r="Q92" s="2"/>
      <c r="R92" s="6">
        <f t="shared" si="29"/>
        <v>6.8476618376098995E-3</v>
      </c>
      <c r="S92" s="2"/>
      <c r="T92" s="7">
        <v>8411.73</v>
      </c>
      <c r="U92" s="2"/>
      <c r="V92" s="6">
        <f t="shared" si="30"/>
        <v>8.1894460763013901E-3</v>
      </c>
      <c r="W92" s="2"/>
      <c r="X92" s="7">
        <f t="shared" si="31"/>
        <v>5374.2800000000007</v>
      </c>
      <c r="Y92" s="2"/>
      <c r="Z92" s="6">
        <f t="shared" si="32"/>
        <v>0.63890305561400584</v>
      </c>
    </row>
    <row r="93" spans="1:26" s="24" customFormat="1" hidden="1" outlineLevel="2" x14ac:dyDescent="0.3">
      <c r="A93" s="27"/>
      <c r="B93" s="11" t="str">
        <f>CONCATENATE("          ", "6119", " - ", "SICK LEAVE")</f>
        <v xml:space="preserve">          6119 - SICK LEAVE</v>
      </c>
      <c r="C93" s="11"/>
      <c r="D93" s="7">
        <v>5169.1899999999996</v>
      </c>
      <c r="E93" s="2"/>
      <c r="F93" s="6">
        <f t="shared" si="25"/>
        <v>3.4617161592180895E-2</v>
      </c>
      <c r="G93" s="2"/>
      <c r="H93" s="7">
        <v>889.54</v>
      </c>
      <c r="I93" s="2"/>
      <c r="J93" s="6">
        <f t="shared" si="26"/>
        <v>6.2847575799988217E-3</v>
      </c>
      <c r="K93" s="2"/>
      <c r="L93" s="7">
        <f t="shared" si="27"/>
        <v>4279.6499999999996</v>
      </c>
      <c r="M93" s="2"/>
      <c r="N93" s="6">
        <f t="shared" si="28"/>
        <v>4.8110821323380621</v>
      </c>
      <c r="O93" s="11"/>
      <c r="P93" s="7">
        <v>12186.07</v>
      </c>
      <c r="Q93" s="2"/>
      <c r="R93" s="6">
        <f t="shared" si="29"/>
        <v>6.0529541534818897E-3</v>
      </c>
      <c r="S93" s="2"/>
      <c r="T93" s="7">
        <v>6013.81</v>
      </c>
      <c r="U93" s="2"/>
      <c r="V93" s="6">
        <f t="shared" si="30"/>
        <v>5.85489224073075E-3</v>
      </c>
      <c r="W93" s="2"/>
      <c r="X93" s="7">
        <f t="shared" si="31"/>
        <v>6172.2599999999993</v>
      </c>
      <c r="Y93" s="2"/>
      <c r="Z93" s="6">
        <f t="shared" si="32"/>
        <v>1.0263476897341284</v>
      </c>
    </row>
    <row r="94" spans="1:26" s="24" customFormat="1" hidden="1" outlineLevel="2" x14ac:dyDescent="0.3">
      <c r="A94" s="27"/>
      <c r="B94" s="11" t="str">
        <f>CONCATENATE("          ", "6156", " - ", "EMPLOYEE MEALS")</f>
        <v xml:space="preserve">          6156 - EMPLOYEE MEALS</v>
      </c>
      <c r="C94" s="11"/>
      <c r="D94" s="7">
        <v>666.86</v>
      </c>
      <c r="E94" s="2"/>
      <c r="F94" s="6">
        <f t="shared" si="25"/>
        <v>4.4658448188907261E-3</v>
      </c>
      <c r="G94" s="2"/>
      <c r="H94" s="7">
        <v>100.13</v>
      </c>
      <c r="I94" s="2"/>
      <c r="J94" s="6">
        <f t="shared" si="26"/>
        <v>7.0743617654662192E-4</v>
      </c>
      <c r="K94" s="2"/>
      <c r="L94" s="7">
        <f t="shared" si="27"/>
        <v>566.73</v>
      </c>
      <c r="M94" s="2"/>
      <c r="N94" s="6">
        <f t="shared" si="28"/>
        <v>5.6599420753021077</v>
      </c>
      <c r="O94" s="11"/>
      <c r="P94" s="7">
        <v>4336.9799999999996</v>
      </c>
      <c r="Q94" s="2"/>
      <c r="R94" s="6">
        <f t="shared" si="29"/>
        <v>2.1542253658946553E-3</v>
      </c>
      <c r="S94" s="2"/>
      <c r="T94" s="7">
        <v>1968.15</v>
      </c>
      <c r="U94" s="2"/>
      <c r="V94" s="6">
        <f t="shared" si="30"/>
        <v>1.9161407100647054E-3</v>
      </c>
      <c r="W94" s="2"/>
      <c r="X94" s="7">
        <f t="shared" si="31"/>
        <v>2368.8299999999995</v>
      </c>
      <c r="Y94" s="2"/>
      <c r="Z94" s="6">
        <f t="shared" si="32"/>
        <v>1.2035820440515201</v>
      </c>
    </row>
    <row r="95" spans="1:26" s="29" customFormat="1" outlineLevel="1" collapsed="1" x14ac:dyDescent="0.3">
      <c r="A95" s="28"/>
      <c r="B95" s="14" t="str">
        <f>CONCATENATE("     ","*Payroll                                          ")</f>
        <v xml:space="preserve">     *Payroll                                          </v>
      </c>
      <c r="C95" s="14"/>
      <c r="D95" s="1">
        <f>SUM(OSRRefD22_1x_0)</f>
        <v>64689.180000000008</v>
      </c>
      <c r="E95" s="1"/>
      <c r="F95" s="5">
        <f t="shared" ref="F95:F100" si="33">IF(D$12=0,0,D95/D$12)</f>
        <v>0.43321212749496091</v>
      </c>
      <c r="G95" s="1"/>
      <c r="H95" s="1">
        <f>SUM(OSRRefH22_1x_0)</f>
        <v>35073.31</v>
      </c>
      <c r="I95" s="1"/>
      <c r="J95" s="5">
        <f t="shared" ref="J95:J100" si="34">IF(H$12=0,0,H95/H$12)</f>
        <v>0.2477991443646699</v>
      </c>
      <c r="K95" s="1"/>
      <c r="L95" s="1">
        <f t="shared" ref="L95:L100" si="35">+D95-H95</f>
        <v>29615.87000000001</v>
      </c>
      <c r="M95" s="1"/>
      <c r="N95" s="5">
        <f t="shared" ref="N95:N100" si="36">IF(H95=0,0,L95/H95)</f>
        <v>0.84439906014003274</v>
      </c>
      <c r="O95" s="14"/>
      <c r="P95" s="1">
        <f>SUM(OSRRefP22_1x_0)</f>
        <v>387539.07000000007</v>
      </c>
      <c r="Q95" s="1"/>
      <c r="R95" s="5">
        <f t="shared" ref="R95:R100" si="37">IF(P$12=0,0,P95/P$12)</f>
        <v>0.19249489157644831</v>
      </c>
      <c r="S95" s="1"/>
      <c r="T95" s="1">
        <f>SUM(OSRRefT22_1x_0)</f>
        <v>208446.16000000003</v>
      </c>
      <c r="U95" s="1"/>
      <c r="V95" s="5">
        <f t="shared" ref="V95:V100" si="38">IF(T$12=0,0,T95/T$12)</f>
        <v>0.20293787213000086</v>
      </c>
      <c r="W95" s="1"/>
      <c r="X95" s="1">
        <f t="shared" ref="X95:X100" si="39">+P95-T95</f>
        <v>179092.91000000003</v>
      </c>
      <c r="Y95" s="1"/>
      <c r="Z95" s="5">
        <f t="shared" ref="Z95:Z100" si="40">IF(T95=0,0,X95/T95)</f>
        <v>0.85918066324656694</v>
      </c>
    </row>
    <row r="96" spans="1:26" s="24" customFormat="1" hidden="1" outlineLevel="2" x14ac:dyDescent="0.3">
      <c r="A96" s="27"/>
      <c r="B96" s="11" t="str">
        <f>CONCATENATE("          ", "6002", " - ", "STAFF SALARIES")</f>
        <v xml:space="preserve">          6002 - STAFF SALARIES</v>
      </c>
      <c r="C96" s="11"/>
      <c r="D96" s="7">
        <v>17550.939999999999</v>
      </c>
      <c r="E96" s="2"/>
      <c r="F96" s="6">
        <f t="shared" si="33"/>
        <v>0.1175355763813424</v>
      </c>
      <c r="G96" s="2"/>
      <c r="H96" s="7">
        <v>17748.2</v>
      </c>
      <c r="I96" s="2"/>
      <c r="J96" s="6">
        <f t="shared" si="34"/>
        <v>0.1253941750582718</v>
      </c>
      <c r="K96" s="2"/>
      <c r="L96" s="7">
        <f t="shared" si="35"/>
        <v>-197.26000000000204</v>
      </c>
      <c r="M96" s="2"/>
      <c r="N96" s="6">
        <f t="shared" si="36"/>
        <v>-1.1114366527309925E-2</v>
      </c>
      <c r="O96" s="11"/>
      <c r="P96" s="7">
        <v>110050.02</v>
      </c>
      <c r="Q96" s="2"/>
      <c r="R96" s="6">
        <f t="shared" si="37"/>
        <v>5.4663047697064357E-2</v>
      </c>
      <c r="S96" s="2"/>
      <c r="T96" s="7">
        <v>93333.67</v>
      </c>
      <c r="U96" s="2"/>
      <c r="V96" s="6">
        <f t="shared" si="38"/>
        <v>9.0867283848662384E-2</v>
      </c>
      <c r="W96" s="2"/>
      <c r="X96" s="7">
        <f t="shared" si="39"/>
        <v>16716.350000000006</v>
      </c>
      <c r="Y96" s="2"/>
      <c r="Z96" s="6">
        <f t="shared" si="40"/>
        <v>0.17910310394951795</v>
      </c>
    </row>
    <row r="97" spans="1:26" s="24" customFormat="1" hidden="1" outlineLevel="2" x14ac:dyDescent="0.3">
      <c r="A97" s="27"/>
      <c r="B97" s="11" t="str">
        <f>CONCATENATE("          ", "6004", " - ", "STAFF HOURLY")</f>
        <v xml:space="preserve">          6004 - STAFF HOURLY</v>
      </c>
      <c r="C97" s="11"/>
      <c r="D97" s="7">
        <v>6306.96</v>
      </c>
      <c r="E97" s="2"/>
      <c r="F97" s="6">
        <f t="shared" si="33"/>
        <v>4.2236608342007396E-2</v>
      </c>
      <c r="G97" s="2"/>
      <c r="H97" s="7">
        <v>3405.92</v>
      </c>
      <c r="I97" s="2"/>
      <c r="J97" s="6">
        <f t="shared" si="34"/>
        <v>2.4063427768138124E-2</v>
      </c>
      <c r="K97" s="2"/>
      <c r="L97" s="7">
        <f t="shared" si="35"/>
        <v>2901.04</v>
      </c>
      <c r="M97" s="2"/>
      <c r="N97" s="6">
        <f t="shared" si="36"/>
        <v>0.85176398741015635</v>
      </c>
      <c r="O97" s="11"/>
      <c r="P97" s="7">
        <v>55539.14</v>
      </c>
      <c r="Q97" s="2"/>
      <c r="R97" s="6">
        <f t="shared" si="37"/>
        <v>2.7586897838582265E-2</v>
      </c>
      <c r="S97" s="2"/>
      <c r="T97" s="7">
        <v>42206.46</v>
      </c>
      <c r="U97" s="2"/>
      <c r="V97" s="6">
        <f t="shared" si="38"/>
        <v>4.109113443269953E-2</v>
      </c>
      <c r="W97" s="2"/>
      <c r="X97" s="7">
        <f t="shared" si="39"/>
        <v>13332.68</v>
      </c>
      <c r="Y97" s="2"/>
      <c r="Z97" s="6">
        <f t="shared" si="40"/>
        <v>0.31589192744428224</v>
      </c>
    </row>
    <row r="98" spans="1:26" s="24" customFormat="1" hidden="1" outlineLevel="2" x14ac:dyDescent="0.3">
      <c r="A98" s="27"/>
      <c r="B98" s="11" t="str">
        <f>CONCATENATE("          ", "6005", " - ", "TEMPORARY WAGES-HOURLY")</f>
        <v xml:space="preserve">          6005 - TEMPORARY WAGES-HOURLY</v>
      </c>
      <c r="C98" s="11"/>
      <c r="D98" s="7">
        <v>2905.25</v>
      </c>
      <c r="E98" s="2"/>
      <c r="F98" s="6">
        <f t="shared" si="33"/>
        <v>1.9455951264256789E-2</v>
      </c>
      <c r="G98" s="2"/>
      <c r="H98" s="7">
        <v>3770.6</v>
      </c>
      <c r="I98" s="2"/>
      <c r="J98" s="6">
        <f t="shared" si="34"/>
        <v>2.6639956529378735E-2</v>
      </c>
      <c r="K98" s="2"/>
      <c r="L98" s="7">
        <f t="shared" si="35"/>
        <v>-865.34999999999991</v>
      </c>
      <c r="M98" s="2"/>
      <c r="N98" s="6">
        <f t="shared" si="36"/>
        <v>-0.22949928393359145</v>
      </c>
      <c r="O98" s="11"/>
      <c r="P98" s="7">
        <v>19548.25</v>
      </c>
      <c r="Q98" s="2"/>
      <c r="R98" s="6">
        <f t="shared" si="37"/>
        <v>9.7098294225129479E-3</v>
      </c>
      <c r="S98" s="2"/>
      <c r="T98" s="7">
        <v>27385.29</v>
      </c>
      <c r="U98" s="2"/>
      <c r="V98" s="6">
        <f t="shared" si="38"/>
        <v>2.6661620824595621E-2</v>
      </c>
      <c r="W98" s="2"/>
      <c r="X98" s="7">
        <f t="shared" si="39"/>
        <v>-7837.0400000000009</v>
      </c>
      <c r="Y98" s="2"/>
      <c r="Z98" s="6">
        <f t="shared" si="40"/>
        <v>-0.28617699502177996</v>
      </c>
    </row>
    <row r="99" spans="1:26" s="24" customFormat="1" hidden="1" outlineLevel="2" x14ac:dyDescent="0.3">
      <c r="A99" s="27"/>
      <c r="B99" s="11" t="str">
        <f>CONCATENATE("          ", "6007", " - ", "STUDENT HOURLY")</f>
        <v xml:space="preserve">          6007 - STUDENT HOURLY</v>
      </c>
      <c r="C99" s="11"/>
      <c r="D99" s="7">
        <v>34111.120000000003</v>
      </c>
      <c r="E99" s="2"/>
      <c r="F99" s="6">
        <f t="shared" si="33"/>
        <v>0.22843620627801914</v>
      </c>
      <c r="G99" s="2"/>
      <c r="H99" s="7">
        <v>9787.67</v>
      </c>
      <c r="I99" s="2"/>
      <c r="J99" s="6">
        <f t="shared" si="34"/>
        <v>6.9151621313293471E-2</v>
      </c>
      <c r="K99" s="2"/>
      <c r="L99" s="7">
        <f t="shared" si="35"/>
        <v>24323.450000000004</v>
      </c>
      <c r="M99" s="2"/>
      <c r="N99" s="6">
        <f t="shared" si="36"/>
        <v>2.4851113697131191</v>
      </c>
      <c r="O99" s="11"/>
      <c r="P99" s="7">
        <v>159512.64000000001</v>
      </c>
      <c r="Q99" s="2"/>
      <c r="R99" s="6">
        <f t="shared" si="37"/>
        <v>7.9231671639902079E-2</v>
      </c>
      <c r="S99" s="2"/>
      <c r="T99" s="7">
        <v>41946.8</v>
      </c>
      <c r="U99" s="2"/>
      <c r="V99" s="6">
        <f t="shared" si="38"/>
        <v>4.0838336070392084E-2</v>
      </c>
      <c r="W99" s="2"/>
      <c r="X99" s="7">
        <f t="shared" si="39"/>
        <v>117565.84000000001</v>
      </c>
      <c r="Y99" s="2"/>
      <c r="Z99" s="6">
        <f t="shared" si="40"/>
        <v>2.8027367999465991</v>
      </c>
    </row>
    <row r="100" spans="1:26" s="24" customFormat="1" hidden="1" outlineLevel="2" x14ac:dyDescent="0.3">
      <c r="A100" s="27"/>
      <c r="B100" s="11" t="str">
        <f>CONCATENATE("          ", "6008", " - ", "STUDENT HOURLY-FICA EXEMPT")</f>
        <v xml:space="preserve">          6008 - STUDENT HOURLY-FICA EXEMPT</v>
      </c>
      <c r="C100" s="11"/>
      <c r="D100" s="7">
        <v>3814.91</v>
      </c>
      <c r="E100" s="2"/>
      <c r="F100" s="6">
        <f t="shared" si="33"/>
        <v>2.554778522933512E-2</v>
      </c>
      <c r="G100" s="2"/>
      <c r="H100" s="7">
        <v>360.92</v>
      </c>
      <c r="I100" s="2"/>
      <c r="J100" s="6">
        <f t="shared" si="34"/>
        <v>2.5499636955878036E-3</v>
      </c>
      <c r="K100" s="2"/>
      <c r="L100" s="7">
        <f t="shared" si="35"/>
        <v>3453.99</v>
      </c>
      <c r="M100" s="2"/>
      <c r="N100" s="6">
        <f t="shared" si="36"/>
        <v>9.5699601019616534</v>
      </c>
      <c r="O100" s="11"/>
      <c r="P100" s="7">
        <v>42889.02</v>
      </c>
      <c r="Q100" s="2"/>
      <c r="R100" s="6">
        <f t="shared" si="37"/>
        <v>2.1303444978386619E-2</v>
      </c>
      <c r="S100" s="2"/>
      <c r="T100" s="7">
        <v>3573.94</v>
      </c>
      <c r="U100" s="2"/>
      <c r="V100" s="6">
        <f t="shared" si="38"/>
        <v>3.4794969536512221E-3</v>
      </c>
      <c r="W100" s="2"/>
      <c r="X100" s="7">
        <f t="shared" si="39"/>
        <v>39315.079999999994</v>
      </c>
      <c r="Y100" s="2"/>
      <c r="Z100" s="6">
        <f t="shared" si="40"/>
        <v>11.000486857641704</v>
      </c>
    </row>
    <row r="101" spans="1:26" s="29" customFormat="1" outlineLevel="1" collapsed="1" x14ac:dyDescent="0.3">
      <c r="A101" s="28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428.83</v>
      </c>
      <c r="E101" s="1"/>
      <c r="F101" s="5">
        <f t="shared" ref="F101:F105" si="41">IF(D$12=0,0,D101/D$12)</f>
        <v>2.8717995286640526E-3</v>
      </c>
      <c r="G101" s="1"/>
      <c r="H101" s="1">
        <f>SUM(OSRRefH22_2x_0)</f>
        <v>637.52</v>
      </c>
      <c r="I101" s="1"/>
      <c r="J101" s="5">
        <f t="shared" ref="J101:J105" si="42">IF(H$12=0,0,H101/H$12)</f>
        <v>4.5041916635573994E-3</v>
      </c>
      <c r="K101" s="1"/>
      <c r="L101" s="1">
        <f t="shared" ref="L101:L105" si="43">+D101-H101</f>
        <v>-208.69</v>
      </c>
      <c r="M101" s="1"/>
      <c r="N101" s="5">
        <f t="shared" ref="N101:N105" si="44">IF(H101=0,0,L101/H101)</f>
        <v>-0.32734659304806124</v>
      </c>
      <c r="O101" s="14"/>
      <c r="P101" s="1">
        <f>SUM(OSRRefP22_2x_0)</f>
        <v>2616.04</v>
      </c>
      <c r="Q101" s="1"/>
      <c r="R101" s="5">
        <f t="shared" ref="R101:R105" si="45">IF(P$12=0,0,P101/P$12)</f>
        <v>1.2994156593286238E-3</v>
      </c>
      <c r="S101" s="1"/>
      <c r="T101" s="1">
        <f>SUM(OSRRefT22_2x_0)</f>
        <v>12660.67</v>
      </c>
      <c r="U101" s="1"/>
      <c r="V101" s="5">
        <f t="shared" ref="V101:V105" si="46">IF(T$12=0,0,T101/T$12)</f>
        <v>1.2326105837306563E-2</v>
      </c>
      <c r="W101" s="1"/>
      <c r="X101" s="1">
        <f t="shared" ref="X101:X105" si="47">+P101-T101</f>
        <v>-10044.630000000001</v>
      </c>
      <c r="Y101" s="1"/>
      <c r="Z101" s="5">
        <f t="shared" ref="Z101:Z105" si="48">IF(T101=0,0,X101/T101)</f>
        <v>-0.79337270460410081</v>
      </c>
    </row>
    <row r="102" spans="1:26" s="24" customFormat="1" hidden="1" outlineLevel="2" x14ac:dyDescent="0.3">
      <c r="A102" s="27"/>
      <c r="B102" s="11" t="str">
        <f>CONCATENATE("          ", "6362", " - ", "ADVERTISING EXPENSE")</f>
        <v xml:space="preserve">          6362 - ADVERTISING EXPENSE</v>
      </c>
      <c r="C102" s="11"/>
      <c r="D102" s="7">
        <v>428.83</v>
      </c>
      <c r="E102" s="2"/>
      <c r="F102" s="6">
        <f t="shared" si="41"/>
        <v>2.8717995286640526E-3</v>
      </c>
      <c r="G102" s="2"/>
      <c r="H102" s="7">
        <v>637.52</v>
      </c>
      <c r="I102" s="2"/>
      <c r="J102" s="6">
        <f t="shared" si="42"/>
        <v>4.5041916635573994E-3</v>
      </c>
      <c r="K102" s="2"/>
      <c r="L102" s="7">
        <f t="shared" si="43"/>
        <v>-208.69</v>
      </c>
      <c r="M102" s="2"/>
      <c r="N102" s="6">
        <f t="shared" si="44"/>
        <v>-0.32734659304806124</v>
      </c>
      <c r="O102" s="11"/>
      <c r="P102" s="7">
        <v>2616.04</v>
      </c>
      <c r="Q102" s="2"/>
      <c r="R102" s="6">
        <f t="shared" si="45"/>
        <v>1.2994156593286238E-3</v>
      </c>
      <c r="S102" s="2"/>
      <c r="T102" s="7">
        <v>12660.67</v>
      </c>
      <c r="U102" s="2"/>
      <c r="V102" s="6">
        <f t="shared" si="46"/>
        <v>1.2326105837306563E-2</v>
      </c>
      <c r="W102" s="2"/>
      <c r="X102" s="7">
        <f t="shared" si="47"/>
        <v>-10044.630000000001</v>
      </c>
      <c r="Y102" s="2"/>
      <c r="Z102" s="6">
        <f t="shared" si="48"/>
        <v>-0.79337270460410081</v>
      </c>
    </row>
    <row r="103" spans="1:26" s="29" customFormat="1" outlineLevel="1" collapsed="1" x14ac:dyDescent="0.3">
      <c r="A103" s="28"/>
      <c r="B103" s="14" t="str">
        <f>CONCATENATE("     ","Discounts and Markdowns                           ")</f>
        <v xml:space="preserve">     Discounts and Markdowns                           </v>
      </c>
      <c r="C103" s="14"/>
      <c r="D103" s="1">
        <f>SUM(OSRRefD22_3x_0)</f>
        <v>0</v>
      </c>
      <c r="E103" s="1"/>
      <c r="F103" s="5">
        <f t="shared" si="41"/>
        <v>0</v>
      </c>
      <c r="G103" s="1"/>
      <c r="H103" s="1">
        <f>SUM(OSRRefH22_3x_0)</f>
        <v>0</v>
      </c>
      <c r="I103" s="1"/>
      <c r="J103" s="5">
        <f t="shared" si="42"/>
        <v>0</v>
      </c>
      <c r="K103" s="1"/>
      <c r="L103" s="1">
        <f t="shared" si="43"/>
        <v>0</v>
      </c>
      <c r="M103" s="1"/>
      <c r="N103" s="5">
        <f t="shared" si="44"/>
        <v>0</v>
      </c>
      <c r="O103" s="14"/>
      <c r="P103" s="1">
        <f>SUM(OSRRefP22_3x_0)</f>
        <v>0</v>
      </c>
      <c r="Q103" s="1"/>
      <c r="R103" s="5">
        <f t="shared" si="45"/>
        <v>0</v>
      </c>
      <c r="S103" s="1"/>
      <c r="T103" s="1">
        <f>SUM(OSRRefT22_3x_0)</f>
        <v>0</v>
      </c>
      <c r="U103" s="1"/>
      <c r="V103" s="5">
        <f t="shared" si="46"/>
        <v>0</v>
      </c>
      <c r="W103" s="1"/>
      <c r="X103" s="1">
        <f t="shared" si="47"/>
        <v>0</v>
      </c>
      <c r="Y103" s="1"/>
      <c r="Z103" s="5">
        <f t="shared" si="48"/>
        <v>0</v>
      </c>
    </row>
    <row r="104" spans="1:26" s="24" customFormat="1" hidden="1" outlineLevel="2" x14ac:dyDescent="0.3">
      <c r="A104" s="27"/>
      <c r="B104" s="11" t="str">
        <f>CONCATENATE("          ", "6382", " - ", "DISCOUNTS/MARK DOWNS")</f>
        <v xml:space="preserve">          6382 - DISCOUNTS/MARK DOWNS</v>
      </c>
      <c r="C104" s="11"/>
      <c r="D104" s="7"/>
      <c r="E104" s="2"/>
      <c r="F104" s="6">
        <f t="shared" si="41"/>
        <v>0</v>
      </c>
      <c r="G104" s="2"/>
      <c r="H104" s="7">
        <v>0</v>
      </c>
      <c r="I104" s="2"/>
      <c r="J104" s="6">
        <f t="shared" si="42"/>
        <v>0</v>
      </c>
      <c r="K104" s="2"/>
      <c r="L104" s="7">
        <f t="shared" si="43"/>
        <v>0</v>
      </c>
      <c r="M104" s="2"/>
      <c r="N104" s="6">
        <f t="shared" si="44"/>
        <v>0</v>
      </c>
      <c r="O104" s="11"/>
      <c r="P104" s="7"/>
      <c r="Q104" s="2"/>
      <c r="R104" s="6">
        <f t="shared" si="45"/>
        <v>0</v>
      </c>
      <c r="S104" s="2"/>
      <c r="T104" s="7">
        <v>0</v>
      </c>
      <c r="U104" s="2"/>
      <c r="V104" s="6">
        <f t="shared" si="46"/>
        <v>0</v>
      </c>
      <c r="W104" s="2"/>
      <c r="X104" s="7">
        <f t="shared" si="47"/>
        <v>0</v>
      </c>
      <c r="Y104" s="2"/>
      <c r="Z104" s="6">
        <f t="shared" si="48"/>
        <v>0</v>
      </c>
    </row>
    <row r="105" spans="1:26" s="24" customFormat="1" hidden="1" outlineLevel="2" x14ac:dyDescent="0.3">
      <c r="A105" s="27"/>
      <c r="B105" s="11" t="str">
        <f>CONCATENATE("          ", "9175", " - ", "EARNED DISCOUNTS")</f>
        <v xml:space="preserve">          9175 - EARNED DISCOUNTS</v>
      </c>
      <c r="C105" s="11"/>
      <c r="D105" s="7"/>
      <c r="E105" s="2"/>
      <c r="F105" s="6">
        <f t="shared" si="41"/>
        <v>0</v>
      </c>
      <c r="G105" s="2"/>
      <c r="H105" s="7"/>
      <c r="I105" s="2"/>
      <c r="J105" s="6">
        <f t="shared" si="42"/>
        <v>0</v>
      </c>
      <c r="K105" s="2"/>
      <c r="L105" s="7">
        <f t="shared" si="43"/>
        <v>0</v>
      </c>
      <c r="M105" s="2"/>
      <c r="N105" s="6">
        <f t="shared" si="44"/>
        <v>0</v>
      </c>
      <c r="O105" s="11"/>
      <c r="P105" s="7">
        <v>0</v>
      </c>
      <c r="Q105" s="2"/>
      <c r="R105" s="6">
        <f t="shared" si="45"/>
        <v>0</v>
      </c>
      <c r="S105" s="2"/>
      <c r="T105" s="7"/>
      <c r="U105" s="2"/>
      <c r="V105" s="6">
        <f t="shared" si="46"/>
        <v>0</v>
      </c>
      <c r="W105" s="2"/>
      <c r="X105" s="7">
        <f t="shared" si="47"/>
        <v>0</v>
      </c>
      <c r="Y105" s="2"/>
      <c r="Z105" s="6">
        <f t="shared" si="48"/>
        <v>0</v>
      </c>
    </row>
    <row r="106" spans="1:26" s="29" customFormat="1" outlineLevel="1" collapsed="1" x14ac:dyDescent="0.3">
      <c r="A106" s="28"/>
      <c r="B106" s="14" t="str">
        <f>CONCATENATE("     ","Employees' Appreciation                           ")</f>
        <v xml:space="preserve">     Employees' Appreciation                           </v>
      </c>
      <c r="C106" s="14"/>
      <c r="D106" s="1">
        <f>SUM(OSRRefD22_4x_0)</f>
        <v>0</v>
      </c>
      <c r="E106" s="1"/>
      <c r="F106" s="5">
        <f t="shared" ref="F106:F112" si="49">IF(D$12=0,0,D106/D$12)</f>
        <v>0</v>
      </c>
      <c r="G106" s="1"/>
      <c r="H106" s="1">
        <f>SUM(OSRRefH22_4x_0)</f>
        <v>0</v>
      </c>
      <c r="I106" s="1"/>
      <c r="J106" s="5">
        <f t="shared" ref="J106:J112" si="50">IF(H$12=0,0,H106/H$12)</f>
        <v>0</v>
      </c>
      <c r="K106" s="1"/>
      <c r="L106" s="1">
        <f t="shared" ref="L106:L112" si="51">+D106-H106</f>
        <v>0</v>
      </c>
      <c r="M106" s="1"/>
      <c r="N106" s="5">
        <f t="shared" ref="N106:N112" si="52">IF(H106=0,0,L106/H106)</f>
        <v>0</v>
      </c>
      <c r="O106" s="14"/>
      <c r="P106" s="1">
        <f>SUM(OSRRefP22_4x_0)</f>
        <v>216.44</v>
      </c>
      <c r="Q106" s="1"/>
      <c r="R106" s="5">
        <f t="shared" ref="R106:R112" si="53">IF(P$12=0,0,P106/P$12)</f>
        <v>1.0750811352467369E-4</v>
      </c>
      <c r="S106" s="1"/>
      <c r="T106" s="1">
        <f>SUM(OSRRefT22_4x_0)</f>
        <v>0</v>
      </c>
      <c r="U106" s="1"/>
      <c r="V106" s="5">
        <f t="shared" ref="V106:V112" si="54">IF(T$12=0,0,T106/T$12)</f>
        <v>0</v>
      </c>
      <c r="W106" s="1"/>
      <c r="X106" s="1">
        <f t="shared" ref="X106:X112" si="55">+P106-T106</f>
        <v>216.44</v>
      </c>
      <c r="Y106" s="1"/>
      <c r="Z106" s="5">
        <f t="shared" ref="Z106:Z112" si="56">IF(T106=0,0,X106/T106)</f>
        <v>0</v>
      </c>
    </row>
    <row r="107" spans="1:26" s="24" customFormat="1" hidden="1" outlineLevel="2" x14ac:dyDescent="0.3">
      <c r="A107" s="27"/>
      <c r="B107" s="11" t="str">
        <f>CONCATENATE("          ", "6277", " - ", "EMPLOYEE APPRECIATION")</f>
        <v xml:space="preserve">          6277 - EMPLOYEE APPRECIATION</v>
      </c>
      <c r="C107" s="11"/>
      <c r="D107" s="7"/>
      <c r="E107" s="2"/>
      <c r="F107" s="6">
        <f t="shared" si="49"/>
        <v>0</v>
      </c>
      <c r="G107" s="2"/>
      <c r="H107" s="7"/>
      <c r="I107" s="2"/>
      <c r="J107" s="6">
        <f t="shared" si="50"/>
        <v>0</v>
      </c>
      <c r="K107" s="2"/>
      <c r="L107" s="7">
        <f t="shared" si="51"/>
        <v>0</v>
      </c>
      <c r="M107" s="2"/>
      <c r="N107" s="6">
        <f t="shared" si="52"/>
        <v>0</v>
      </c>
      <c r="O107" s="11"/>
      <c r="P107" s="7">
        <v>216.44</v>
      </c>
      <c r="Q107" s="2"/>
      <c r="R107" s="6">
        <f t="shared" si="53"/>
        <v>1.0750811352467369E-4</v>
      </c>
      <c r="S107" s="2"/>
      <c r="T107" s="7"/>
      <c r="U107" s="2"/>
      <c r="V107" s="6">
        <f t="shared" si="54"/>
        <v>0</v>
      </c>
      <c r="W107" s="2"/>
      <c r="X107" s="7">
        <f t="shared" si="55"/>
        <v>216.44</v>
      </c>
      <c r="Y107" s="2"/>
      <c r="Z107" s="6">
        <f t="shared" si="56"/>
        <v>0</v>
      </c>
    </row>
    <row r="108" spans="1:26" s="29" customFormat="1" outlineLevel="1" collapsed="1" x14ac:dyDescent="0.3">
      <c r="A108" s="28"/>
      <c r="B108" s="14" t="str">
        <f>CONCATENATE("     ","Equipment Rental                                  ")</f>
        <v xml:space="preserve">     Equipment Rental                                  </v>
      </c>
      <c r="C108" s="14"/>
      <c r="D108" s="1">
        <f>SUM(OSRRefD22_5x_0)</f>
        <v>0</v>
      </c>
      <c r="E108" s="1"/>
      <c r="F108" s="5">
        <f t="shared" si="49"/>
        <v>0</v>
      </c>
      <c r="G108" s="1"/>
      <c r="H108" s="1">
        <f>SUM(OSRRefH22_5x_0)</f>
        <v>0</v>
      </c>
      <c r="I108" s="1"/>
      <c r="J108" s="5">
        <f t="shared" si="50"/>
        <v>0</v>
      </c>
      <c r="K108" s="1"/>
      <c r="L108" s="1">
        <f t="shared" si="51"/>
        <v>0</v>
      </c>
      <c r="M108" s="1"/>
      <c r="N108" s="5">
        <f t="shared" si="52"/>
        <v>0</v>
      </c>
      <c r="O108" s="14"/>
      <c r="P108" s="1">
        <f>SUM(OSRRefP22_5x_0)</f>
        <v>118.91</v>
      </c>
      <c r="Q108" s="1"/>
      <c r="R108" s="5">
        <f t="shared" si="53"/>
        <v>5.9063896595910865E-5</v>
      </c>
      <c r="S108" s="1"/>
      <c r="T108" s="1">
        <f>SUM(OSRRefT22_5x_0)</f>
        <v>0</v>
      </c>
      <c r="U108" s="1"/>
      <c r="V108" s="5">
        <f t="shared" si="54"/>
        <v>0</v>
      </c>
      <c r="W108" s="1"/>
      <c r="X108" s="1">
        <f t="shared" si="55"/>
        <v>118.91</v>
      </c>
      <c r="Y108" s="1"/>
      <c r="Z108" s="5">
        <f t="shared" si="56"/>
        <v>0</v>
      </c>
    </row>
    <row r="109" spans="1:26" s="24" customFormat="1" hidden="1" outlineLevel="2" x14ac:dyDescent="0.3">
      <c r="A109" s="27"/>
      <c r="B109" s="11" t="str">
        <f>CONCATENATE("          ", "6351", " - ", "EQUIPMENT RENTAL")</f>
        <v xml:space="preserve">          6351 - EQUIPMENT RENTAL</v>
      </c>
      <c r="C109" s="11"/>
      <c r="D109" s="7"/>
      <c r="E109" s="2"/>
      <c r="F109" s="6">
        <f t="shared" si="49"/>
        <v>0</v>
      </c>
      <c r="G109" s="2"/>
      <c r="H109" s="7"/>
      <c r="I109" s="2"/>
      <c r="J109" s="6">
        <f t="shared" si="50"/>
        <v>0</v>
      </c>
      <c r="K109" s="2"/>
      <c r="L109" s="7">
        <f t="shared" si="51"/>
        <v>0</v>
      </c>
      <c r="M109" s="2"/>
      <c r="N109" s="6">
        <f t="shared" si="52"/>
        <v>0</v>
      </c>
      <c r="O109" s="11"/>
      <c r="P109" s="7">
        <v>118.91</v>
      </c>
      <c r="Q109" s="2"/>
      <c r="R109" s="6">
        <f t="shared" si="53"/>
        <v>5.9063896595910865E-5</v>
      </c>
      <c r="S109" s="2"/>
      <c r="T109" s="7"/>
      <c r="U109" s="2"/>
      <c r="V109" s="6">
        <f t="shared" si="54"/>
        <v>0</v>
      </c>
      <c r="W109" s="2"/>
      <c r="X109" s="7">
        <f t="shared" si="55"/>
        <v>118.91</v>
      </c>
      <c r="Y109" s="2"/>
      <c r="Z109" s="6">
        <f t="shared" si="56"/>
        <v>0</v>
      </c>
    </row>
    <row r="110" spans="1:26" s="29" customFormat="1" outlineLevel="1" collapsed="1" x14ac:dyDescent="0.3">
      <c r="A110" s="28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SUM(OSRRefD22_6x_0)</f>
        <v>0</v>
      </c>
      <c r="E110" s="1"/>
      <c r="F110" s="5">
        <f t="shared" si="49"/>
        <v>0</v>
      </c>
      <c r="G110" s="1"/>
      <c r="H110" s="1">
        <f>SUM(OSRRefH22_6x_0)</f>
        <v>127.18</v>
      </c>
      <c r="I110" s="1"/>
      <c r="J110" s="5">
        <f t="shared" si="50"/>
        <v>8.9854921535203612E-4</v>
      </c>
      <c r="K110" s="1"/>
      <c r="L110" s="1">
        <f t="shared" si="51"/>
        <v>-127.18</v>
      </c>
      <c r="M110" s="1"/>
      <c r="N110" s="5">
        <f t="shared" si="52"/>
        <v>-1</v>
      </c>
      <c r="O110" s="14"/>
      <c r="P110" s="1">
        <f>SUM(OSRRefP22_6x_0)</f>
        <v>929.29</v>
      </c>
      <c r="Q110" s="1"/>
      <c r="R110" s="5">
        <f t="shared" si="53"/>
        <v>4.6158849943330258E-4</v>
      </c>
      <c r="S110" s="1"/>
      <c r="T110" s="1">
        <f>SUM(OSRRefT22_6x_0)</f>
        <v>234.42</v>
      </c>
      <c r="U110" s="1"/>
      <c r="V110" s="5">
        <f t="shared" si="54"/>
        <v>2.282253411850561E-4</v>
      </c>
      <c r="W110" s="1"/>
      <c r="X110" s="1">
        <f t="shared" si="55"/>
        <v>694.87</v>
      </c>
      <c r="Y110" s="1"/>
      <c r="Z110" s="5">
        <f t="shared" si="56"/>
        <v>2.9642095384352873</v>
      </c>
    </row>
    <row r="111" spans="1:26" s="24" customFormat="1" hidden="1" outlineLevel="2" x14ac:dyDescent="0.3">
      <c r="A111" s="27"/>
      <c r="B111" s="11" t="str">
        <f>CONCATENATE("          ", "6305", " - ", "FREIGHT OUT")</f>
        <v xml:space="preserve">          6305 - FREIGHT OUT</v>
      </c>
      <c r="C111" s="11"/>
      <c r="D111" s="7"/>
      <c r="E111" s="2"/>
      <c r="F111" s="6">
        <f t="shared" si="49"/>
        <v>0</v>
      </c>
      <c r="G111" s="2"/>
      <c r="H111" s="7">
        <v>127.18</v>
      </c>
      <c r="I111" s="2"/>
      <c r="J111" s="6">
        <f t="shared" si="50"/>
        <v>8.9854921535203612E-4</v>
      </c>
      <c r="K111" s="2"/>
      <c r="L111" s="7">
        <f t="shared" si="51"/>
        <v>-127.18</v>
      </c>
      <c r="M111" s="2"/>
      <c r="N111" s="6">
        <f t="shared" si="52"/>
        <v>-1</v>
      </c>
      <c r="O111" s="11"/>
      <c r="P111" s="7">
        <v>893.87</v>
      </c>
      <c r="Q111" s="2"/>
      <c r="R111" s="6">
        <f t="shared" si="53"/>
        <v>4.4399499831962702E-4</v>
      </c>
      <c r="S111" s="2"/>
      <c r="T111" s="7">
        <v>240.42</v>
      </c>
      <c r="U111" s="2"/>
      <c r="V111" s="6">
        <f t="shared" si="54"/>
        <v>2.3406678836153567E-4</v>
      </c>
      <c r="W111" s="2"/>
      <c r="X111" s="7">
        <f t="shared" si="55"/>
        <v>653.45000000000005</v>
      </c>
      <c r="Y111" s="2"/>
      <c r="Z111" s="6">
        <f t="shared" si="56"/>
        <v>2.7179519174777478</v>
      </c>
    </row>
    <row r="112" spans="1:26" s="24" customFormat="1" hidden="1" outlineLevel="2" x14ac:dyDescent="0.3">
      <c r="A112" s="27"/>
      <c r="B112" s="11" t="str">
        <f>CONCATENATE("          ", "6307", " - ", "POSTAGE")</f>
        <v xml:space="preserve">          6307 - POSTAGE</v>
      </c>
      <c r="C112" s="11"/>
      <c r="D112" s="7"/>
      <c r="E112" s="2"/>
      <c r="F112" s="6">
        <f t="shared" si="49"/>
        <v>0</v>
      </c>
      <c r="G112" s="2"/>
      <c r="H112" s="7"/>
      <c r="I112" s="2"/>
      <c r="J112" s="6">
        <f t="shared" si="50"/>
        <v>0</v>
      </c>
      <c r="K112" s="2"/>
      <c r="L112" s="7">
        <f t="shared" si="51"/>
        <v>0</v>
      </c>
      <c r="M112" s="2"/>
      <c r="N112" s="6">
        <f t="shared" si="52"/>
        <v>0</v>
      </c>
      <c r="O112" s="11"/>
      <c r="P112" s="7">
        <v>35.42</v>
      </c>
      <c r="Q112" s="2"/>
      <c r="R112" s="6">
        <f t="shared" si="53"/>
        <v>1.7593501113675579E-5</v>
      </c>
      <c r="S112" s="2"/>
      <c r="T112" s="7">
        <v>-6</v>
      </c>
      <c r="U112" s="2"/>
      <c r="V112" s="6">
        <f t="shared" si="54"/>
        <v>-5.8414471764795525E-6</v>
      </c>
      <c r="W112" s="2"/>
      <c r="X112" s="7">
        <f t="shared" si="55"/>
        <v>41.42</v>
      </c>
      <c r="Y112" s="2"/>
      <c r="Z112" s="6">
        <f t="shared" si="56"/>
        <v>-6.9033333333333333</v>
      </c>
    </row>
    <row r="113" spans="1:26" s="29" customFormat="1" outlineLevel="1" collapsed="1" x14ac:dyDescent="0.3">
      <c r="A113" s="28"/>
      <c r="B113" s="14" t="str">
        <f>CONCATENATE("     ","Inventory Adjustment                              ")</f>
        <v xml:space="preserve">     Inventory Adjustment                              </v>
      </c>
      <c r="C113" s="14"/>
      <c r="D113" s="1">
        <f>SUM(OSRRefD22_7x_0)</f>
        <v>3350</v>
      </c>
      <c r="E113" s="1"/>
      <c r="F113" s="5">
        <f t="shared" ref="F113:F115" si="57">IF(D$12=0,0,D113/D$12)</f>
        <v>2.2434364249293605E-2</v>
      </c>
      <c r="G113" s="1"/>
      <c r="H113" s="1">
        <f>SUM(OSRRefH22_7x_0)</f>
        <v>1000</v>
      </c>
      <c r="I113" s="1"/>
      <c r="J113" s="5">
        <f t="shared" ref="J113:J115" si="58">IF(H$12=0,0,H113/H$12)</f>
        <v>7.0651770353203028E-3</v>
      </c>
      <c r="K113" s="1"/>
      <c r="L113" s="1">
        <f t="shared" ref="L113:L115" si="59">+D113-H113</f>
        <v>2350</v>
      </c>
      <c r="M113" s="1"/>
      <c r="N113" s="5">
        <f t="shared" ref="N113:N115" si="60">IF(H113=0,0,L113/H113)</f>
        <v>2.35</v>
      </c>
      <c r="O113" s="14"/>
      <c r="P113" s="1">
        <f>SUM(OSRRefP22_7x_0)</f>
        <v>23450</v>
      </c>
      <c r="Q113" s="1"/>
      <c r="R113" s="5">
        <f t="shared" ref="R113:R115" si="61">IF(P$12=0,0,P113/P$12)</f>
        <v>1.1647871290674542E-2</v>
      </c>
      <c r="S113" s="1"/>
      <c r="T113" s="1">
        <f>SUM(OSRRefT22_7x_0)</f>
        <v>7000</v>
      </c>
      <c r="U113" s="1"/>
      <c r="V113" s="5">
        <f t="shared" ref="V113:V115" si="62">IF(T$12=0,0,T113/T$12)</f>
        <v>6.8150217058928113E-3</v>
      </c>
      <c r="W113" s="1"/>
      <c r="X113" s="1">
        <f t="shared" ref="X113:X115" si="63">+P113-T113</f>
        <v>16450</v>
      </c>
      <c r="Y113" s="1"/>
      <c r="Z113" s="5">
        <f t="shared" ref="Z113:Z115" si="64">IF(T113=0,0,X113/T113)</f>
        <v>2.35</v>
      </c>
    </row>
    <row r="114" spans="1:26" s="24" customFormat="1" hidden="1" outlineLevel="2" x14ac:dyDescent="0.3">
      <c r="A114" s="27"/>
      <c r="B114" s="11" t="str">
        <f>CONCATENATE("          ", "6408", " - ", "INVENTORY ADJUSTMENT")</f>
        <v xml:space="preserve">          6408 - INVENTORY ADJUSTMENT</v>
      </c>
      <c r="C114" s="11"/>
      <c r="D114" s="7">
        <v>3350</v>
      </c>
      <c r="E114" s="2"/>
      <c r="F114" s="6">
        <f t="shared" si="57"/>
        <v>2.2434364249293605E-2</v>
      </c>
      <c r="G114" s="2"/>
      <c r="H114" s="7">
        <v>1000</v>
      </c>
      <c r="I114" s="2"/>
      <c r="J114" s="6">
        <f t="shared" si="58"/>
        <v>7.0651770353203028E-3</v>
      </c>
      <c r="K114" s="2"/>
      <c r="L114" s="7">
        <f t="shared" si="59"/>
        <v>2350</v>
      </c>
      <c r="M114" s="2"/>
      <c r="N114" s="6">
        <f t="shared" si="60"/>
        <v>2.35</v>
      </c>
      <c r="O114" s="11"/>
      <c r="P114" s="7">
        <v>23450</v>
      </c>
      <c r="Q114" s="2"/>
      <c r="R114" s="6">
        <f t="shared" si="61"/>
        <v>1.1647871290674542E-2</v>
      </c>
      <c r="S114" s="2"/>
      <c r="T114" s="7">
        <v>7000</v>
      </c>
      <c r="U114" s="2"/>
      <c r="V114" s="6">
        <f t="shared" si="62"/>
        <v>6.8150217058928113E-3</v>
      </c>
      <c r="W114" s="2"/>
      <c r="X114" s="7">
        <f t="shared" si="63"/>
        <v>16450</v>
      </c>
      <c r="Y114" s="2"/>
      <c r="Z114" s="6">
        <f t="shared" si="64"/>
        <v>2.35</v>
      </c>
    </row>
    <row r="115" spans="1:26" s="24" customFormat="1" hidden="1" outlineLevel="2" x14ac:dyDescent="0.3">
      <c r="A115" s="27"/>
      <c r="B115" s="11" t="str">
        <f>CONCATENATE("          ", "7741", " - ", "INV. SHRINKAGE-LOGO GIFTS")</f>
        <v xml:space="preserve">          7741 - INV. SHRINKAGE-LOGO GIFTS</v>
      </c>
      <c r="C115" s="11"/>
      <c r="D115" s="7"/>
      <c r="E115" s="2"/>
      <c r="F115" s="6">
        <f t="shared" si="57"/>
        <v>0</v>
      </c>
      <c r="G115" s="2"/>
      <c r="H115" s="7"/>
      <c r="I115" s="2"/>
      <c r="J115" s="6">
        <f t="shared" si="58"/>
        <v>0</v>
      </c>
      <c r="K115" s="2"/>
      <c r="L115" s="7">
        <f t="shared" si="59"/>
        <v>0</v>
      </c>
      <c r="M115" s="2"/>
      <c r="N115" s="6">
        <f t="shared" si="60"/>
        <v>0</v>
      </c>
      <c r="O115" s="11"/>
      <c r="P115" s="7"/>
      <c r="Q115" s="2"/>
      <c r="R115" s="6">
        <f t="shared" si="61"/>
        <v>0</v>
      </c>
      <c r="S115" s="2"/>
      <c r="T115" s="7">
        <v>0</v>
      </c>
      <c r="U115" s="2"/>
      <c r="V115" s="6">
        <f t="shared" si="62"/>
        <v>0</v>
      </c>
      <c r="W115" s="2"/>
      <c r="X115" s="7">
        <f t="shared" si="63"/>
        <v>0</v>
      </c>
      <c r="Y115" s="2"/>
      <c r="Z115" s="6">
        <f t="shared" si="64"/>
        <v>0</v>
      </c>
    </row>
    <row r="116" spans="1:26" s="29" customFormat="1" outlineLevel="1" collapsed="1" x14ac:dyDescent="0.3">
      <c r="A116" s="28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SUM(OSRRefD22_8x_0)</f>
        <v>0</v>
      </c>
      <c r="E116" s="1"/>
      <c r="F116" s="5">
        <f t="shared" ref="F116:F120" si="65">IF(D$12=0,0,D116/D$12)</f>
        <v>0</v>
      </c>
      <c r="G116" s="1"/>
      <c r="H116" s="1">
        <f>SUM(OSRRefH22_8x_0)</f>
        <v>0</v>
      </c>
      <c r="I116" s="1"/>
      <c r="J116" s="5">
        <f t="shared" ref="J116:J120" si="66">IF(H$12=0,0,H116/H$12)</f>
        <v>0</v>
      </c>
      <c r="K116" s="1"/>
      <c r="L116" s="1">
        <f t="shared" ref="L116:L120" si="67">+D116-H116</f>
        <v>0</v>
      </c>
      <c r="M116" s="1"/>
      <c r="N116" s="5">
        <f t="shared" ref="N116:N120" si="68">IF(H116=0,0,L116/H116)</f>
        <v>0</v>
      </c>
      <c r="O116" s="14"/>
      <c r="P116" s="1">
        <f>SUM(OSRRefP22_8x_0)</f>
        <v>507.64</v>
      </c>
      <c r="Q116" s="1"/>
      <c r="R116" s="5">
        <f t="shared" ref="R116:R120" si="69">IF(P$12=0,0,P116/P$12)</f>
        <v>2.5215033611931871E-4</v>
      </c>
      <c r="S116" s="1"/>
      <c r="T116" s="1">
        <f>SUM(OSRRefT22_8x_0)</f>
        <v>0</v>
      </c>
      <c r="U116" s="1"/>
      <c r="V116" s="5">
        <f t="shared" ref="V116:V120" si="70">IF(T$12=0,0,T116/T$12)</f>
        <v>0</v>
      </c>
      <c r="W116" s="1"/>
      <c r="X116" s="1">
        <f t="shared" ref="X116:X120" si="71">+P116-T116</f>
        <v>507.64</v>
      </c>
      <c r="Y116" s="1"/>
      <c r="Z116" s="5">
        <f t="shared" ref="Z116:Z120" si="72">IF(T116=0,0,X116/T116)</f>
        <v>0</v>
      </c>
    </row>
    <row r="117" spans="1:26" s="24" customFormat="1" hidden="1" outlineLevel="2" x14ac:dyDescent="0.3">
      <c r="A117" s="27"/>
      <c r="B117" s="11" t="str">
        <f>CONCATENATE("          ", "6336", " - ", "PROFESSIONAL SERVICES")</f>
        <v xml:space="preserve">          6336 - PROFESSIONAL SERVICES</v>
      </c>
      <c r="C117" s="11"/>
      <c r="D117" s="7"/>
      <c r="E117" s="2"/>
      <c r="F117" s="6">
        <f t="shared" si="65"/>
        <v>0</v>
      </c>
      <c r="G117" s="2"/>
      <c r="H117" s="7"/>
      <c r="I117" s="2"/>
      <c r="J117" s="6">
        <f t="shared" si="66"/>
        <v>0</v>
      </c>
      <c r="K117" s="2"/>
      <c r="L117" s="7">
        <f t="shared" si="67"/>
        <v>0</v>
      </c>
      <c r="M117" s="2"/>
      <c r="N117" s="6">
        <f t="shared" si="68"/>
        <v>0</v>
      </c>
      <c r="O117" s="11"/>
      <c r="P117" s="7">
        <v>507.64</v>
      </c>
      <c r="Q117" s="2"/>
      <c r="R117" s="6">
        <f t="shared" si="69"/>
        <v>2.5215033611931871E-4</v>
      </c>
      <c r="S117" s="2"/>
      <c r="T117" s="7"/>
      <c r="U117" s="2"/>
      <c r="V117" s="6">
        <f t="shared" si="70"/>
        <v>0</v>
      </c>
      <c r="W117" s="2"/>
      <c r="X117" s="7">
        <f t="shared" si="71"/>
        <v>507.64</v>
      </c>
      <c r="Y117" s="2"/>
      <c r="Z117" s="6">
        <f t="shared" si="72"/>
        <v>0</v>
      </c>
    </row>
    <row r="118" spans="1:26" s="29" customFormat="1" outlineLevel="1" collapsed="1" x14ac:dyDescent="0.3">
      <c r="A118" s="28"/>
      <c r="B118" s="14" t="str">
        <f>CONCATENATE("     ","Repair and Maintenance                            ")</f>
        <v xml:space="preserve">     Repair and Maintenance                            </v>
      </c>
      <c r="C118" s="14"/>
      <c r="D118" s="1">
        <f>SUM(OSRRefD22_9x_0)</f>
        <v>0</v>
      </c>
      <c r="E118" s="1"/>
      <c r="F118" s="5">
        <f t="shared" si="65"/>
        <v>0</v>
      </c>
      <c r="G118" s="1"/>
      <c r="H118" s="1">
        <f>SUM(OSRRefH22_9x_0)</f>
        <v>0</v>
      </c>
      <c r="I118" s="1"/>
      <c r="J118" s="5">
        <f t="shared" si="66"/>
        <v>0</v>
      </c>
      <c r="K118" s="1"/>
      <c r="L118" s="1">
        <f t="shared" si="67"/>
        <v>0</v>
      </c>
      <c r="M118" s="1"/>
      <c r="N118" s="5">
        <f t="shared" si="68"/>
        <v>0</v>
      </c>
      <c r="O118" s="14"/>
      <c r="P118" s="1">
        <f>SUM(OSRRefP22_9x_0)</f>
        <v>1684.29</v>
      </c>
      <c r="Q118" s="1"/>
      <c r="R118" s="5">
        <f t="shared" si="69"/>
        <v>8.3660525100939125E-4</v>
      </c>
      <c r="S118" s="1"/>
      <c r="T118" s="1">
        <f>SUM(OSRRefT22_9x_0)</f>
        <v>0</v>
      </c>
      <c r="U118" s="1"/>
      <c r="V118" s="5">
        <f t="shared" si="70"/>
        <v>0</v>
      </c>
      <c r="W118" s="1"/>
      <c r="X118" s="1">
        <f t="shared" si="71"/>
        <v>1684.29</v>
      </c>
      <c r="Y118" s="1"/>
      <c r="Z118" s="5">
        <f t="shared" si="72"/>
        <v>0</v>
      </c>
    </row>
    <row r="119" spans="1:26" s="24" customFormat="1" hidden="1" outlineLevel="2" x14ac:dyDescent="0.3">
      <c r="A119" s="27"/>
      <c r="B119" s="11" t="str">
        <f>CONCATENATE("          ", "6373", " - ", "MAINTENANCE CONTRACTS")</f>
        <v xml:space="preserve">          6373 - MAINTENANCE CONTRACTS</v>
      </c>
      <c r="C119" s="11"/>
      <c r="D119" s="7"/>
      <c r="E119" s="2"/>
      <c r="F119" s="6">
        <f t="shared" si="65"/>
        <v>0</v>
      </c>
      <c r="G119" s="2"/>
      <c r="H119" s="7"/>
      <c r="I119" s="2"/>
      <c r="J119" s="6">
        <f t="shared" si="66"/>
        <v>0</v>
      </c>
      <c r="K119" s="2"/>
      <c r="L119" s="7">
        <f t="shared" si="67"/>
        <v>0</v>
      </c>
      <c r="M119" s="2"/>
      <c r="N119" s="6">
        <f t="shared" si="68"/>
        <v>0</v>
      </c>
      <c r="O119" s="11"/>
      <c r="P119" s="7">
        <v>5.7</v>
      </c>
      <c r="Q119" s="2"/>
      <c r="R119" s="6">
        <f t="shared" si="69"/>
        <v>2.8312522966671596E-6</v>
      </c>
      <c r="S119" s="2"/>
      <c r="T119" s="7"/>
      <c r="U119" s="2"/>
      <c r="V119" s="6">
        <f t="shared" si="70"/>
        <v>0</v>
      </c>
      <c r="W119" s="2"/>
      <c r="X119" s="7">
        <f t="shared" si="71"/>
        <v>5.7</v>
      </c>
      <c r="Y119" s="2"/>
      <c r="Z119" s="6">
        <f t="shared" si="72"/>
        <v>0</v>
      </c>
    </row>
    <row r="120" spans="1:26" s="24" customFormat="1" hidden="1" outlineLevel="2" x14ac:dyDescent="0.3">
      <c r="A120" s="27"/>
      <c r="B120" s="11" t="str">
        <f>CONCATENATE("          ", "6375", " - ", "OUTSIDE REPAIRS &amp; MAINTENANCE")</f>
        <v xml:space="preserve">          6375 - OUTSIDE REPAIRS &amp; MAINTENANCE</v>
      </c>
      <c r="C120" s="11"/>
      <c r="D120" s="7"/>
      <c r="E120" s="2"/>
      <c r="F120" s="6">
        <f t="shared" si="65"/>
        <v>0</v>
      </c>
      <c r="G120" s="2"/>
      <c r="H120" s="7"/>
      <c r="I120" s="2"/>
      <c r="J120" s="6">
        <f t="shared" si="66"/>
        <v>0</v>
      </c>
      <c r="K120" s="2"/>
      <c r="L120" s="7">
        <f t="shared" si="67"/>
        <v>0</v>
      </c>
      <c r="M120" s="2"/>
      <c r="N120" s="6">
        <f t="shared" si="68"/>
        <v>0</v>
      </c>
      <c r="O120" s="11"/>
      <c r="P120" s="7">
        <v>1678.59</v>
      </c>
      <c r="Q120" s="2"/>
      <c r="R120" s="6">
        <f t="shared" si="69"/>
        <v>8.3377399871272407E-4</v>
      </c>
      <c r="S120" s="2"/>
      <c r="T120" s="7"/>
      <c r="U120" s="2"/>
      <c r="V120" s="6">
        <f t="shared" si="70"/>
        <v>0</v>
      </c>
      <c r="W120" s="2"/>
      <c r="X120" s="7">
        <f t="shared" si="71"/>
        <v>1678.59</v>
      </c>
      <c r="Y120" s="2"/>
      <c r="Z120" s="6">
        <f t="shared" si="72"/>
        <v>0</v>
      </c>
    </row>
    <row r="121" spans="1:26" s="29" customFormat="1" outlineLevel="1" collapsed="1" x14ac:dyDescent="0.3">
      <c r="A121" s="28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SUM(OSRRefD22_10x_0)</f>
        <v>23450.06</v>
      </c>
      <c r="E121" s="1"/>
      <c r="F121" s="5">
        <f t="shared" ref="F121:F123" si="73">IF(D$12=0,0,D121/D$12)</f>
        <v>0.15704095155456418</v>
      </c>
      <c r="G121" s="1"/>
      <c r="H121" s="1">
        <f>SUM(OSRRefH22_10x_0)</f>
        <v>7785.78</v>
      </c>
      <c r="I121" s="1"/>
      <c r="J121" s="5">
        <f t="shared" ref="J121:J123" si="74">IF(H$12=0,0,H121/H$12)</f>
        <v>5.5007914058056107E-2</v>
      </c>
      <c r="K121" s="1"/>
      <c r="L121" s="1">
        <f t="shared" ref="L121:L123" si="75">+D121-H121</f>
        <v>15664.280000000002</v>
      </c>
      <c r="M121" s="1"/>
      <c r="N121" s="5">
        <f t="shared" ref="N121:N123" si="76">IF(H121=0,0,L121/H121)</f>
        <v>2.0119088903102842</v>
      </c>
      <c r="O121" s="14"/>
      <c r="P121" s="1">
        <f>SUM(OSRRefP22_10x_0)</f>
        <v>39582.850000000006</v>
      </c>
      <c r="Q121" s="1"/>
      <c r="R121" s="5">
        <f t="shared" ref="R121:R123" si="77">IF(P$12=0,0,P121/P$12)</f>
        <v>1.9661234205461699E-2</v>
      </c>
      <c r="S121" s="1"/>
      <c r="T121" s="1">
        <f>SUM(OSRRefT22_10x_0)</f>
        <v>26197.58</v>
      </c>
      <c r="U121" s="1"/>
      <c r="V121" s="5">
        <f t="shared" ref="V121:V123" si="78">IF(T$12=0,0,T121/T$12)</f>
        <v>2.55052966202662E-2</v>
      </c>
      <c r="W121" s="1"/>
      <c r="X121" s="1">
        <f t="shared" ref="X121:X123" si="79">+P121-T121</f>
        <v>13385.270000000004</v>
      </c>
      <c r="Y121" s="1"/>
      <c r="Z121" s="5">
        <f t="shared" ref="Z121:Z123" si="80">IF(T121=0,0,X121/T121)</f>
        <v>0.51093536120511907</v>
      </c>
    </row>
    <row r="122" spans="1:26" s="24" customFormat="1" hidden="1" outlineLevel="2" x14ac:dyDescent="0.3">
      <c r="A122" s="27"/>
      <c r="B122" s="11" t="str">
        <f>CONCATENATE("          ", "6253", " - ", "ROYALTY DUE ATHLETICS-LRG")</f>
        <v xml:space="preserve">          6253 - ROYALTY DUE ATHLETICS-LRG</v>
      </c>
      <c r="C122" s="11"/>
      <c r="D122" s="7">
        <v>16060.87</v>
      </c>
      <c r="E122" s="2"/>
      <c r="F122" s="6">
        <f t="shared" si="73"/>
        <v>0.10755683813150811</v>
      </c>
      <c r="G122" s="2"/>
      <c r="H122" s="7">
        <v>7785.78</v>
      </c>
      <c r="I122" s="2"/>
      <c r="J122" s="6">
        <f t="shared" si="74"/>
        <v>5.5007914058056107E-2</v>
      </c>
      <c r="K122" s="2"/>
      <c r="L122" s="7">
        <f t="shared" si="75"/>
        <v>8275.09</v>
      </c>
      <c r="M122" s="2"/>
      <c r="N122" s="6">
        <f t="shared" si="76"/>
        <v>1.0628466255147204</v>
      </c>
      <c r="O122" s="11"/>
      <c r="P122" s="7">
        <v>39221.160000000003</v>
      </c>
      <c r="Q122" s="2"/>
      <c r="R122" s="6">
        <f t="shared" si="77"/>
        <v>1.9481578829464937E-2</v>
      </c>
      <c r="S122" s="2"/>
      <c r="T122" s="7">
        <v>26197.58</v>
      </c>
      <c r="U122" s="2"/>
      <c r="V122" s="6">
        <f t="shared" si="78"/>
        <v>2.55052966202662E-2</v>
      </c>
      <c r="W122" s="2"/>
      <c r="X122" s="7">
        <f t="shared" si="79"/>
        <v>13023.580000000002</v>
      </c>
      <c r="Y122" s="2"/>
      <c r="Z122" s="6">
        <f t="shared" si="80"/>
        <v>0.49712912414047405</v>
      </c>
    </row>
    <row r="123" spans="1:26" s="24" customFormat="1" hidden="1" outlineLevel="2" x14ac:dyDescent="0.3">
      <c r="A123" s="27"/>
      <c r="B123" s="11" t="str">
        <f>CONCATENATE("          ", "6254", " - ", "ROYALTY &amp; COMMISSIONS")</f>
        <v xml:space="preserve">          6254 - ROYALTY &amp; COMMISSIONS</v>
      </c>
      <c r="C123" s="11"/>
      <c r="D123" s="7">
        <v>7389.19</v>
      </c>
      <c r="E123" s="2"/>
      <c r="F123" s="6">
        <f t="shared" si="73"/>
        <v>4.9484113423056059E-2</v>
      </c>
      <c r="G123" s="2"/>
      <c r="H123" s="7"/>
      <c r="I123" s="2"/>
      <c r="J123" s="6">
        <f t="shared" si="74"/>
        <v>0</v>
      </c>
      <c r="K123" s="2"/>
      <c r="L123" s="7">
        <f t="shared" si="75"/>
        <v>7389.19</v>
      </c>
      <c r="M123" s="2"/>
      <c r="N123" s="6">
        <f t="shared" si="76"/>
        <v>0</v>
      </c>
      <c r="O123" s="11"/>
      <c r="P123" s="7">
        <v>361.69</v>
      </c>
      <c r="Q123" s="2"/>
      <c r="R123" s="6">
        <f t="shared" si="77"/>
        <v>1.7965537599676226E-4</v>
      </c>
      <c r="S123" s="2"/>
      <c r="T123" s="7"/>
      <c r="U123" s="2"/>
      <c r="V123" s="6">
        <f t="shared" si="78"/>
        <v>0</v>
      </c>
      <c r="W123" s="2"/>
      <c r="X123" s="7">
        <f t="shared" si="79"/>
        <v>361.69</v>
      </c>
      <c r="Y123" s="2"/>
      <c r="Z123" s="6">
        <f t="shared" si="80"/>
        <v>0</v>
      </c>
    </row>
    <row r="124" spans="1:26" s="29" customFormat="1" outlineLevel="1" collapsed="1" x14ac:dyDescent="0.3">
      <c r="A124" s="28"/>
      <c r="B124" s="14" t="str">
        <f>CONCATENATE("     ","Subscriptions &amp; Dues                              ")</f>
        <v xml:space="preserve">     Subscriptions &amp; Dues                              </v>
      </c>
      <c r="C124" s="14"/>
      <c r="D124" s="1">
        <f>SUM(OSRRefD22_11x_0)</f>
        <v>0</v>
      </c>
      <c r="E124" s="1"/>
      <c r="F124" s="5">
        <f t="shared" ref="F124:F126" si="81">IF(D$12=0,0,D124/D$12)</f>
        <v>0</v>
      </c>
      <c r="G124" s="1"/>
      <c r="H124" s="1">
        <f>SUM(OSRRefH22_11x_0)</f>
        <v>133.69999999999999</v>
      </c>
      <c r="I124" s="1"/>
      <c r="J124" s="5">
        <f t="shared" ref="J124:J126" si="82">IF(H$12=0,0,H124/H$12)</f>
        <v>9.4461416962232441E-4</v>
      </c>
      <c r="K124" s="1"/>
      <c r="L124" s="1">
        <f t="shared" ref="L124:L126" si="83">+D124-H124</f>
        <v>-133.69999999999999</v>
      </c>
      <c r="M124" s="1"/>
      <c r="N124" s="5">
        <f t="shared" ref="N124:N126" si="84">IF(H124=0,0,L124/H124)</f>
        <v>-1</v>
      </c>
      <c r="O124" s="14"/>
      <c r="P124" s="1">
        <f>SUM(OSRRefP22_11x_0)</f>
        <v>0</v>
      </c>
      <c r="Q124" s="1"/>
      <c r="R124" s="5">
        <f t="shared" ref="R124:R126" si="85">IF(P$12=0,0,P124/P$12)</f>
        <v>0</v>
      </c>
      <c r="S124" s="1"/>
      <c r="T124" s="1">
        <f>SUM(OSRRefT22_11x_0)</f>
        <v>-231.57</v>
      </c>
      <c r="U124" s="1"/>
      <c r="V124" s="5">
        <f t="shared" ref="V124:V126" si="86">IF(T$12=0,0,T124/T$12)</f>
        <v>-2.2545065377622834E-4</v>
      </c>
      <c r="W124" s="1"/>
      <c r="X124" s="1">
        <f t="shared" ref="X124:X126" si="87">+P124-T124</f>
        <v>231.57</v>
      </c>
      <c r="Y124" s="1"/>
      <c r="Z124" s="5">
        <f t="shared" ref="Z124:Z126" si="88">IF(T124=0,0,X124/T124)</f>
        <v>-1</v>
      </c>
    </row>
    <row r="125" spans="1:26" s="24" customFormat="1" hidden="1" outlineLevel="2" x14ac:dyDescent="0.3">
      <c r="A125" s="27"/>
      <c r="B125" s="11" t="str">
        <f>CONCATENATE("          ", "6258", " - ", "MEMBERSHIP DUES")</f>
        <v xml:space="preserve">          6258 - MEMBERSHIP DUES</v>
      </c>
      <c r="C125" s="11"/>
      <c r="D125" s="7"/>
      <c r="E125" s="2"/>
      <c r="F125" s="6">
        <f t="shared" si="81"/>
        <v>0</v>
      </c>
      <c r="G125" s="2"/>
      <c r="H125" s="7">
        <v>133.69999999999999</v>
      </c>
      <c r="I125" s="2"/>
      <c r="J125" s="6">
        <f t="shared" si="82"/>
        <v>9.4461416962232441E-4</v>
      </c>
      <c r="K125" s="2"/>
      <c r="L125" s="7">
        <f t="shared" si="83"/>
        <v>-133.69999999999999</v>
      </c>
      <c r="M125" s="2"/>
      <c r="N125" s="6">
        <f t="shared" si="84"/>
        <v>-1</v>
      </c>
      <c r="O125" s="11"/>
      <c r="P125" s="7"/>
      <c r="Q125" s="2"/>
      <c r="R125" s="6">
        <f t="shared" si="85"/>
        <v>0</v>
      </c>
      <c r="S125" s="2"/>
      <c r="T125" s="7">
        <v>-307.3</v>
      </c>
      <c r="U125" s="2"/>
      <c r="V125" s="6">
        <f t="shared" si="86"/>
        <v>-2.9917945288869443E-4</v>
      </c>
      <c r="W125" s="2"/>
      <c r="X125" s="7">
        <f t="shared" si="87"/>
        <v>307.3</v>
      </c>
      <c r="Y125" s="2"/>
      <c r="Z125" s="6">
        <f t="shared" si="88"/>
        <v>-1</v>
      </c>
    </row>
    <row r="126" spans="1:26" s="24" customFormat="1" hidden="1" outlineLevel="2" x14ac:dyDescent="0.3">
      <c r="A126" s="27"/>
      <c r="B126" s="11" t="str">
        <f>CONCATENATE("          ", "6275", " - ", "SUBSCRIPTIONS")</f>
        <v xml:space="preserve">          6275 - SUBSCRIPTIONS</v>
      </c>
      <c r="C126" s="11"/>
      <c r="D126" s="7"/>
      <c r="E126" s="2"/>
      <c r="F126" s="6">
        <f t="shared" si="81"/>
        <v>0</v>
      </c>
      <c r="G126" s="2"/>
      <c r="H126" s="7"/>
      <c r="I126" s="2"/>
      <c r="J126" s="6">
        <f t="shared" si="82"/>
        <v>0</v>
      </c>
      <c r="K126" s="2"/>
      <c r="L126" s="7">
        <f t="shared" si="83"/>
        <v>0</v>
      </c>
      <c r="M126" s="2"/>
      <c r="N126" s="6">
        <f t="shared" si="84"/>
        <v>0</v>
      </c>
      <c r="O126" s="11"/>
      <c r="P126" s="7"/>
      <c r="Q126" s="2"/>
      <c r="R126" s="6">
        <f t="shared" si="85"/>
        <v>0</v>
      </c>
      <c r="S126" s="2"/>
      <c r="T126" s="7">
        <v>75.73</v>
      </c>
      <c r="U126" s="2"/>
      <c r="V126" s="6">
        <f t="shared" si="86"/>
        <v>7.3728799112466096E-5</v>
      </c>
      <c r="W126" s="2"/>
      <c r="X126" s="7">
        <f t="shared" si="87"/>
        <v>-75.73</v>
      </c>
      <c r="Y126" s="2"/>
      <c r="Z126" s="6">
        <f t="shared" si="88"/>
        <v>-1</v>
      </c>
    </row>
    <row r="127" spans="1:26" s="29" customFormat="1" outlineLevel="1" collapsed="1" x14ac:dyDescent="0.3">
      <c r="A127" s="28"/>
      <c r="B127" s="14" t="str">
        <f>CONCATENATE("     ","Supplies                                          ")</f>
        <v xml:space="preserve">     Supplies                                          </v>
      </c>
      <c r="C127" s="14"/>
      <c r="D127" s="1">
        <f>SUM(OSRRefD22_12x_0)</f>
        <v>107.14</v>
      </c>
      <c r="E127" s="1"/>
      <c r="F127" s="5">
        <f t="shared" ref="F127:F132" si="89">IF(D$12=0,0,D127/D$12)</f>
        <v>7.1749784646845272E-4</v>
      </c>
      <c r="G127" s="1"/>
      <c r="H127" s="1">
        <f>SUM(OSRRefH22_12x_0)</f>
        <v>1606.65</v>
      </c>
      <c r="I127" s="1"/>
      <c r="J127" s="5">
        <f t="shared" ref="J127:J132" si="90">IF(H$12=0,0,H127/H$12)</f>
        <v>1.1351266683797365E-2</v>
      </c>
      <c r="K127" s="1"/>
      <c r="L127" s="1">
        <f t="shared" ref="L127:L132" si="91">+D127-H127</f>
        <v>-1499.51</v>
      </c>
      <c r="M127" s="1"/>
      <c r="N127" s="5">
        <f t="shared" ref="N127:N132" si="92">IF(H127=0,0,L127/H127)</f>
        <v>-0.93331466094046611</v>
      </c>
      <c r="O127" s="14"/>
      <c r="P127" s="1">
        <f>SUM(OSRRefP22_12x_0)</f>
        <v>7686.9699999999993</v>
      </c>
      <c r="Q127" s="1"/>
      <c r="R127" s="5">
        <f t="shared" ref="R127:R132" si="93">IF(P$12=0,0,P127/P$12)</f>
        <v>3.8182020117388691E-3</v>
      </c>
      <c r="S127" s="1"/>
      <c r="T127" s="1">
        <f>SUM(OSRRefT22_12x_0)</f>
        <v>3297.9399999999996</v>
      </c>
      <c r="U127" s="1"/>
      <c r="V127" s="5">
        <f t="shared" ref="V127:V132" si="94">IF(T$12=0,0,T127/T$12)</f>
        <v>3.2107903835331621E-3</v>
      </c>
      <c r="W127" s="1"/>
      <c r="X127" s="1">
        <f t="shared" ref="X127:X132" si="95">+P127-T127</f>
        <v>4389.03</v>
      </c>
      <c r="Y127" s="1"/>
      <c r="Z127" s="5">
        <f t="shared" ref="Z127:Z132" si="96">IF(T127=0,0,X127/T127)</f>
        <v>1.3308398576080827</v>
      </c>
    </row>
    <row r="128" spans="1:26" s="24" customFormat="1" hidden="1" outlineLevel="2" x14ac:dyDescent="0.3">
      <c r="A128" s="27"/>
      <c r="B128" s="11" t="str">
        <f>CONCATENATE("          ", "6234", " - ", "EXPENDABLE SUPPLIES &amp; EQUIPMEN")</f>
        <v xml:space="preserve">          6234 - EXPENDABLE SUPPLIES &amp; EQUIPMEN</v>
      </c>
      <c r="C128" s="11"/>
      <c r="D128" s="7"/>
      <c r="E128" s="2"/>
      <c r="F128" s="6">
        <f t="shared" si="89"/>
        <v>0</v>
      </c>
      <c r="G128" s="2"/>
      <c r="H128" s="7">
        <v>396.5</v>
      </c>
      <c r="I128" s="2"/>
      <c r="J128" s="6">
        <f t="shared" si="90"/>
        <v>2.8013426945045E-3</v>
      </c>
      <c r="K128" s="2"/>
      <c r="L128" s="7">
        <f t="shared" si="91"/>
        <v>-396.5</v>
      </c>
      <c r="M128" s="2"/>
      <c r="N128" s="6">
        <f t="shared" si="92"/>
        <v>-1</v>
      </c>
      <c r="O128" s="11"/>
      <c r="P128" s="7"/>
      <c r="Q128" s="2"/>
      <c r="R128" s="6">
        <f t="shared" si="93"/>
        <v>0</v>
      </c>
      <c r="S128" s="2"/>
      <c r="T128" s="7">
        <v>396.5</v>
      </c>
      <c r="U128" s="2"/>
      <c r="V128" s="6">
        <f t="shared" si="94"/>
        <v>3.8602230091235712E-4</v>
      </c>
      <c r="W128" s="2"/>
      <c r="X128" s="7">
        <f t="shared" si="95"/>
        <v>-396.5</v>
      </c>
      <c r="Y128" s="2"/>
      <c r="Z128" s="6">
        <f t="shared" si="96"/>
        <v>-1</v>
      </c>
    </row>
    <row r="129" spans="1:26" s="24" customFormat="1" hidden="1" outlineLevel="2" x14ac:dyDescent="0.3">
      <c r="A129" s="27"/>
      <c r="B129" s="11" t="str">
        <f>CONCATENATE("          ", "6235", " - ", "COVID-19 EXPENSES")</f>
        <v xml:space="preserve">          6235 - COVID-19 EXPENSES</v>
      </c>
      <c r="C129" s="11"/>
      <c r="D129" s="7"/>
      <c r="E129" s="2"/>
      <c r="F129" s="6">
        <f t="shared" si="89"/>
        <v>0</v>
      </c>
      <c r="G129" s="2"/>
      <c r="H129" s="7"/>
      <c r="I129" s="2"/>
      <c r="J129" s="6">
        <f t="shared" si="90"/>
        <v>0</v>
      </c>
      <c r="K129" s="2"/>
      <c r="L129" s="7">
        <f t="shared" si="91"/>
        <v>0</v>
      </c>
      <c r="M129" s="2"/>
      <c r="N129" s="6">
        <f t="shared" si="92"/>
        <v>0</v>
      </c>
      <c r="O129" s="11"/>
      <c r="P129" s="7"/>
      <c r="Q129" s="2"/>
      <c r="R129" s="6">
        <f t="shared" si="93"/>
        <v>0</v>
      </c>
      <c r="S129" s="2"/>
      <c r="T129" s="7">
        <v>1026.43</v>
      </c>
      <c r="U129" s="2"/>
      <c r="V129" s="6">
        <f t="shared" si="94"/>
        <v>9.9930610422565127E-4</v>
      </c>
      <c r="W129" s="2"/>
      <c r="X129" s="7">
        <f t="shared" si="95"/>
        <v>-1026.43</v>
      </c>
      <c r="Y129" s="2"/>
      <c r="Z129" s="6">
        <f t="shared" si="96"/>
        <v>-1</v>
      </c>
    </row>
    <row r="130" spans="1:26" s="24" customFormat="1" hidden="1" outlineLevel="2" x14ac:dyDescent="0.3">
      <c r="A130" s="27"/>
      <c r="B130" s="11" t="str">
        <f>CONCATENATE("          ", "6241", " - ", "OFFICE EXPENSE")</f>
        <v xml:space="preserve">          6241 - OFFICE EXPENSE</v>
      </c>
      <c r="C130" s="11"/>
      <c r="D130" s="7">
        <v>107.14</v>
      </c>
      <c r="E130" s="2"/>
      <c r="F130" s="6">
        <f t="shared" si="89"/>
        <v>7.1749784646845272E-4</v>
      </c>
      <c r="G130" s="2"/>
      <c r="H130" s="7">
        <v>337.04</v>
      </c>
      <c r="I130" s="2"/>
      <c r="J130" s="6">
        <f t="shared" si="90"/>
        <v>2.3812472679843552E-3</v>
      </c>
      <c r="K130" s="2"/>
      <c r="L130" s="7">
        <f t="shared" si="91"/>
        <v>-229.90000000000003</v>
      </c>
      <c r="M130" s="2"/>
      <c r="N130" s="6">
        <f t="shared" si="92"/>
        <v>-0.68211488250652752</v>
      </c>
      <c r="O130" s="11"/>
      <c r="P130" s="7">
        <v>1190.06</v>
      </c>
      <c r="Q130" s="2"/>
      <c r="R130" s="6">
        <f t="shared" si="93"/>
        <v>5.9111580845117885E-4</v>
      </c>
      <c r="S130" s="2"/>
      <c r="T130" s="7">
        <v>808.44</v>
      </c>
      <c r="U130" s="2"/>
      <c r="V130" s="6">
        <f t="shared" si="94"/>
        <v>7.8707659255885501E-4</v>
      </c>
      <c r="W130" s="2"/>
      <c r="X130" s="7">
        <f t="shared" si="95"/>
        <v>381.61999999999989</v>
      </c>
      <c r="Y130" s="2"/>
      <c r="Z130" s="6">
        <f t="shared" si="96"/>
        <v>0.47204492603037934</v>
      </c>
    </row>
    <row r="131" spans="1:26" s="24" customFormat="1" hidden="1" outlineLevel="2" x14ac:dyDescent="0.3">
      <c r="A131" s="27"/>
      <c r="B131" s="11" t="str">
        <f>CONCATENATE("          ", "6245", " - ", "PRINTING")</f>
        <v xml:space="preserve">          6245 - PRINTING</v>
      </c>
      <c r="C131" s="11"/>
      <c r="D131" s="7"/>
      <c r="E131" s="2"/>
      <c r="F131" s="6">
        <f t="shared" si="89"/>
        <v>0</v>
      </c>
      <c r="G131" s="2"/>
      <c r="H131" s="7"/>
      <c r="I131" s="2"/>
      <c r="J131" s="6">
        <f t="shared" si="90"/>
        <v>0</v>
      </c>
      <c r="K131" s="2"/>
      <c r="L131" s="7">
        <f t="shared" si="91"/>
        <v>0</v>
      </c>
      <c r="M131" s="2"/>
      <c r="N131" s="6">
        <f t="shared" si="92"/>
        <v>0</v>
      </c>
      <c r="O131" s="11"/>
      <c r="P131" s="7">
        <v>24.75</v>
      </c>
      <c r="Q131" s="2"/>
      <c r="R131" s="6">
        <f t="shared" si="93"/>
        <v>1.229359549868635E-5</v>
      </c>
      <c r="S131" s="2"/>
      <c r="T131" s="7"/>
      <c r="U131" s="2"/>
      <c r="V131" s="6">
        <f t="shared" si="94"/>
        <v>0</v>
      </c>
      <c r="W131" s="2"/>
      <c r="X131" s="7">
        <f t="shared" si="95"/>
        <v>24.75</v>
      </c>
      <c r="Y131" s="2"/>
      <c r="Z131" s="6">
        <f t="shared" si="96"/>
        <v>0</v>
      </c>
    </row>
    <row r="132" spans="1:26" s="24" customFormat="1" hidden="1" outlineLevel="2" x14ac:dyDescent="0.3">
      <c r="A132" s="27"/>
      <c r="B132" s="11" t="str">
        <f>CONCATENATE("          ", "6247", " - ", "STORE SUPPLIES")</f>
        <v xml:space="preserve">          6247 - STORE SUPPLIES</v>
      </c>
      <c r="C132" s="11"/>
      <c r="D132" s="7"/>
      <c r="E132" s="2"/>
      <c r="F132" s="6">
        <f t="shared" si="89"/>
        <v>0</v>
      </c>
      <c r="G132" s="2"/>
      <c r="H132" s="7">
        <v>873.11</v>
      </c>
      <c r="I132" s="2"/>
      <c r="J132" s="6">
        <f t="shared" si="90"/>
        <v>6.16867672130851E-3</v>
      </c>
      <c r="K132" s="2"/>
      <c r="L132" s="7">
        <f t="shared" si="91"/>
        <v>-873.11</v>
      </c>
      <c r="M132" s="2"/>
      <c r="N132" s="6">
        <f t="shared" si="92"/>
        <v>-1</v>
      </c>
      <c r="O132" s="11"/>
      <c r="P132" s="7">
        <v>6472.16</v>
      </c>
      <c r="Q132" s="2"/>
      <c r="R132" s="6">
        <f t="shared" si="93"/>
        <v>3.2147926077890042E-3</v>
      </c>
      <c r="S132" s="2"/>
      <c r="T132" s="7">
        <v>1066.57</v>
      </c>
      <c r="U132" s="2"/>
      <c r="V132" s="6">
        <f t="shared" si="94"/>
        <v>1.0383853858362993E-3</v>
      </c>
      <c r="W132" s="2"/>
      <c r="X132" s="7">
        <f t="shared" si="95"/>
        <v>5405.59</v>
      </c>
      <c r="Y132" s="2"/>
      <c r="Z132" s="6">
        <f t="shared" si="96"/>
        <v>5.0681999306187127</v>
      </c>
    </row>
    <row r="133" spans="1:26" s="29" customFormat="1" outlineLevel="1" collapsed="1" x14ac:dyDescent="0.3">
      <c r="A133" s="28"/>
      <c r="B133" s="14" t="str">
        <f>CONCATENATE("     ","Telephone/Data Lines                              ")</f>
        <v xml:space="preserve">     Telephone/Data Lines                              </v>
      </c>
      <c r="C133" s="14"/>
      <c r="D133" s="1">
        <f>SUM(OSRRefD22_13x_0)</f>
        <v>264.60000000000002</v>
      </c>
      <c r="E133" s="1"/>
      <c r="F133" s="5">
        <f t="shared" ref="F133:F136" si="97">IF(D$12=0,0,D133/D$12)</f>
        <v>1.7719799344367427E-3</v>
      </c>
      <c r="G133" s="1"/>
      <c r="H133" s="1">
        <f>SUM(OSRRefH22_13x_0)</f>
        <v>106.61</v>
      </c>
      <c r="I133" s="1"/>
      <c r="J133" s="5">
        <f t="shared" ref="J133:J136" si="98">IF(H$12=0,0,H133/H$12)</f>
        <v>7.5321852373549751E-4</v>
      </c>
      <c r="K133" s="1"/>
      <c r="L133" s="1">
        <f t="shared" ref="L133:L136" si="99">+D133-H133</f>
        <v>157.99</v>
      </c>
      <c r="M133" s="1"/>
      <c r="N133" s="5">
        <f t="shared" ref="N133:N136" si="100">IF(H133=0,0,L133/H133)</f>
        <v>1.4819435325016417</v>
      </c>
      <c r="O133" s="14"/>
      <c r="P133" s="1">
        <f>SUM(OSRRefP22_13x_0)</f>
        <v>1415.9</v>
      </c>
      <c r="Q133" s="1"/>
      <c r="R133" s="5">
        <f t="shared" ref="R133:R136" si="101">IF(P$12=0,0,P133/P$12)</f>
        <v>7.0329300471070732E-4</v>
      </c>
      <c r="S133" s="1"/>
      <c r="T133" s="1">
        <f>SUM(OSRRefT22_13x_0)</f>
        <v>2670.59</v>
      </c>
      <c r="U133" s="1"/>
      <c r="V133" s="5">
        <f t="shared" ref="V133:V136" si="102">IF(T$12=0,0,T133/T$12)</f>
        <v>2.6000184025057548E-3</v>
      </c>
      <c r="W133" s="1"/>
      <c r="X133" s="1">
        <f t="shared" ref="X133:X136" si="103">+P133-T133</f>
        <v>-1254.69</v>
      </c>
      <c r="Y133" s="1"/>
      <c r="Z133" s="5">
        <f t="shared" ref="Z133:Z136" si="104">IF(T133=0,0,X133/T133)</f>
        <v>-0.46981753095757867</v>
      </c>
    </row>
    <row r="134" spans="1:26" s="24" customFormat="1" hidden="1" outlineLevel="2" x14ac:dyDescent="0.3">
      <c r="A134" s="27"/>
      <c r="B134" s="11" t="str">
        <f>CONCATENATE("          ", "6309", " - ", "TELEPHONE")</f>
        <v xml:space="preserve">          6309 - TELEPHONE</v>
      </c>
      <c r="C134" s="11"/>
      <c r="D134" s="7">
        <v>264.60000000000002</v>
      </c>
      <c r="E134" s="2"/>
      <c r="F134" s="6">
        <f t="shared" si="97"/>
        <v>1.7719799344367427E-3</v>
      </c>
      <c r="G134" s="2"/>
      <c r="H134" s="7">
        <v>106.61</v>
      </c>
      <c r="I134" s="2"/>
      <c r="J134" s="6">
        <f t="shared" si="98"/>
        <v>7.5321852373549751E-4</v>
      </c>
      <c r="K134" s="2"/>
      <c r="L134" s="7">
        <f t="shared" si="99"/>
        <v>157.99</v>
      </c>
      <c r="M134" s="2"/>
      <c r="N134" s="6">
        <f t="shared" si="100"/>
        <v>1.4819435325016417</v>
      </c>
      <c r="O134" s="11"/>
      <c r="P134" s="7">
        <v>1415.9</v>
      </c>
      <c r="Q134" s="2"/>
      <c r="R134" s="6">
        <f t="shared" si="101"/>
        <v>7.0329300471070732E-4</v>
      </c>
      <c r="S134" s="2"/>
      <c r="T134" s="7">
        <v>2670.59</v>
      </c>
      <c r="U134" s="2"/>
      <c r="V134" s="6">
        <f t="shared" si="102"/>
        <v>2.6000184025057548E-3</v>
      </c>
      <c r="W134" s="2"/>
      <c r="X134" s="7">
        <f t="shared" si="103"/>
        <v>-1254.69</v>
      </c>
      <c r="Y134" s="2"/>
      <c r="Z134" s="6">
        <f t="shared" si="104"/>
        <v>-0.46981753095757867</v>
      </c>
    </row>
    <row r="135" spans="1:26" s="29" customFormat="1" outlineLevel="1" collapsed="1" x14ac:dyDescent="0.3">
      <c r="A135" s="28"/>
      <c r="B135" s="14" t="str">
        <f>CONCATENATE("     ","Travel                                            ")</f>
        <v xml:space="preserve">     Travel                                            </v>
      </c>
      <c r="C135" s="14"/>
      <c r="D135" s="1">
        <f>SUM(OSRRefD22_14x_0)</f>
        <v>0</v>
      </c>
      <c r="E135" s="1"/>
      <c r="F135" s="5">
        <f t="shared" si="97"/>
        <v>0</v>
      </c>
      <c r="G135" s="1"/>
      <c r="H135" s="1">
        <f>SUM(OSRRefH22_14x_0)</f>
        <v>69.92</v>
      </c>
      <c r="I135" s="1"/>
      <c r="J135" s="5">
        <f t="shared" si="98"/>
        <v>4.9399717830959553E-4</v>
      </c>
      <c r="K135" s="1"/>
      <c r="L135" s="1">
        <f t="shared" si="99"/>
        <v>-69.92</v>
      </c>
      <c r="M135" s="1"/>
      <c r="N135" s="5">
        <f t="shared" si="100"/>
        <v>-1</v>
      </c>
      <c r="O135" s="14"/>
      <c r="P135" s="1">
        <f>SUM(OSRRefP22_14x_0)</f>
        <v>40.32</v>
      </c>
      <c r="Q135" s="1"/>
      <c r="R135" s="5">
        <f t="shared" si="101"/>
        <v>2.0027384666950856E-5</v>
      </c>
      <c r="S135" s="1"/>
      <c r="T135" s="1">
        <f>SUM(OSRRefT22_14x_0)</f>
        <v>69.92</v>
      </c>
      <c r="U135" s="1"/>
      <c r="V135" s="5">
        <f t="shared" si="102"/>
        <v>6.8072331096575051E-5</v>
      </c>
      <c r="W135" s="1"/>
      <c r="X135" s="1">
        <f t="shared" si="103"/>
        <v>-29.6</v>
      </c>
      <c r="Y135" s="1"/>
      <c r="Z135" s="5">
        <f t="shared" si="104"/>
        <v>-0.42334096109839819</v>
      </c>
    </row>
    <row r="136" spans="1:26" s="24" customFormat="1" hidden="1" outlineLevel="2" x14ac:dyDescent="0.3">
      <c r="A136" s="27"/>
      <c r="B136" s="11" t="str">
        <f>CONCATENATE("          ", "6294", " - ", "TRAVEL OPERATIONAL")</f>
        <v xml:space="preserve">          6294 - TRAVEL OPERATIONAL</v>
      </c>
      <c r="C136" s="11"/>
      <c r="D136" s="7"/>
      <c r="E136" s="2"/>
      <c r="F136" s="6">
        <f t="shared" si="97"/>
        <v>0</v>
      </c>
      <c r="G136" s="2"/>
      <c r="H136" s="7">
        <v>69.92</v>
      </c>
      <c r="I136" s="2"/>
      <c r="J136" s="6">
        <f t="shared" si="98"/>
        <v>4.9399717830959553E-4</v>
      </c>
      <c r="K136" s="2"/>
      <c r="L136" s="7">
        <f t="shared" si="99"/>
        <v>-69.92</v>
      </c>
      <c r="M136" s="2"/>
      <c r="N136" s="6">
        <f t="shared" si="100"/>
        <v>-1</v>
      </c>
      <c r="O136" s="11"/>
      <c r="P136" s="7">
        <v>40.32</v>
      </c>
      <c r="Q136" s="2"/>
      <c r="R136" s="6">
        <f t="shared" si="101"/>
        <v>2.0027384666950856E-5</v>
      </c>
      <c r="S136" s="2"/>
      <c r="T136" s="7">
        <v>69.92</v>
      </c>
      <c r="U136" s="2"/>
      <c r="V136" s="6">
        <f t="shared" si="102"/>
        <v>6.8072331096575051E-5</v>
      </c>
      <c r="W136" s="2"/>
      <c r="X136" s="7">
        <f t="shared" si="103"/>
        <v>-29.6</v>
      </c>
      <c r="Y136" s="2"/>
      <c r="Z136" s="6">
        <f t="shared" si="104"/>
        <v>-0.42334096109839819</v>
      </c>
    </row>
    <row r="137" spans="1:26" s="52" customFormat="1" x14ac:dyDescent="0.3">
      <c r="A137" s="37"/>
      <c r="B137" s="37"/>
      <c r="C137" s="37"/>
      <c r="D137" s="1"/>
      <c r="E137" s="1"/>
      <c r="F137" s="5"/>
      <c r="G137" s="1"/>
      <c r="H137" s="1"/>
      <c r="I137" s="1"/>
      <c r="J137" s="5"/>
      <c r="K137" s="1"/>
      <c r="L137" s="1"/>
      <c r="M137" s="1"/>
      <c r="N137" s="5"/>
      <c r="O137" s="37"/>
      <c r="P137" s="1"/>
      <c r="Q137" s="1"/>
      <c r="R137" s="5"/>
      <c r="S137" s="1"/>
      <c r="T137" s="1"/>
      <c r="U137" s="1"/>
      <c r="V137" s="5"/>
      <c r="W137" s="1"/>
      <c r="X137" s="1"/>
      <c r="Y137" s="1"/>
      <c r="Z137" s="5"/>
    </row>
    <row r="138" spans="1:26" s="23" customFormat="1" collapsed="1" x14ac:dyDescent="0.3">
      <c r="A138" s="10"/>
      <c r="B138" s="26" t="s">
        <v>292</v>
      </c>
      <c r="C138" s="10"/>
      <c r="D138" s="4">
        <f>SUM(OSRRefD25x_0)</f>
        <v>39149.25</v>
      </c>
      <c r="E138" s="4"/>
      <c r="F138" s="12">
        <f t="shared" ref="F138:F140" si="105">IF(D$12=0,0,D138/D$12)</f>
        <v>0.26217568196616647</v>
      </c>
      <c r="G138" s="4"/>
      <c r="H138" s="4">
        <f>SUM(OSRRefH25x_0)</f>
        <v>15571.57</v>
      </c>
      <c r="I138" s="4"/>
      <c r="J138" s="12">
        <f t="shared" ref="J138:J140" si="106">IF(H$12=0,0,H138/H$12)</f>
        <v>0.11001589876788256</v>
      </c>
      <c r="K138" s="4"/>
      <c r="L138" s="4">
        <f t="shared" ref="L138:L140" si="107">+D138-H138</f>
        <v>23577.68</v>
      </c>
      <c r="M138" s="4"/>
      <c r="N138" s="12">
        <f t="shared" ref="N138:N140" si="108">IF(H138=0,0,L138/H138)</f>
        <v>1.5141491834156735</v>
      </c>
      <c r="O138" s="10"/>
      <c r="P138" s="4">
        <f>SUM(OSRRefP25x_0)</f>
        <v>158502.37</v>
      </c>
      <c r="Q138" s="4"/>
      <c r="R138" s="12">
        <f t="shared" ref="R138:R140" si="109">IF(P$12=0,0,P138/P$12)</f>
        <v>7.8729859489418921E-2</v>
      </c>
      <c r="S138" s="4"/>
      <c r="T138" s="4">
        <f>SUM(OSRRefT25x_0)</f>
        <v>221779.15</v>
      </c>
      <c r="U138" s="4"/>
      <c r="V138" s="12">
        <f t="shared" ref="V138:V140" si="110">IF(T$12=0,0,T138/T$12)</f>
        <v>0.21591853159492252</v>
      </c>
      <c r="W138" s="4"/>
      <c r="X138" s="4">
        <f t="shared" ref="X138:X140" si="111">+P138-T138</f>
        <v>-63276.78</v>
      </c>
      <c r="Y138" s="4"/>
      <c r="Z138" s="12">
        <f t="shared" ref="Z138:Z140" si="112">IF(T138=0,0,X138/T138)</f>
        <v>-0.28531437693759759</v>
      </c>
    </row>
    <row r="139" spans="1:26" s="24" customFormat="1" hidden="1" outlineLevel="1" x14ac:dyDescent="0.3">
      <c r="A139" s="44"/>
      <c r="B139" s="11" t="str">
        <f>CONCATENATE("          ", "9150", " - ", "MISC. INCOME")</f>
        <v xml:space="preserve">          9150 - MISC. INCOME</v>
      </c>
      <c r="C139" s="11"/>
      <c r="D139" s="2">
        <f>--32121.75</f>
        <v>32121.75</v>
      </c>
      <c r="E139" s="2"/>
      <c r="F139" s="19">
        <f t="shared" si="105"/>
        <v>0.2151137432312677</v>
      </c>
      <c r="G139" s="2"/>
      <c r="H139" s="2">
        <f>--15571.57</f>
        <v>15571.57</v>
      </c>
      <c r="I139" s="2"/>
      <c r="J139" s="19">
        <f t="shared" si="106"/>
        <v>0.11001589876788256</v>
      </c>
      <c r="K139" s="2"/>
      <c r="L139" s="2">
        <f t="shared" si="107"/>
        <v>16550.18</v>
      </c>
      <c r="M139" s="2"/>
      <c r="N139" s="19">
        <f t="shared" si="108"/>
        <v>1.0628459429588668</v>
      </c>
      <c r="O139" s="11"/>
      <c r="P139" s="2">
        <f>--78726.67</f>
        <v>78726.67</v>
      </c>
      <c r="Q139" s="2"/>
      <c r="R139" s="19">
        <f t="shared" si="109"/>
        <v>3.910439741165922E-2</v>
      </c>
      <c r="S139" s="2"/>
      <c r="T139" s="2">
        <f>--46373.31</f>
        <v>46373.31</v>
      </c>
      <c r="U139" s="2"/>
      <c r="V139" s="19">
        <f t="shared" si="110"/>
        <v>4.5147873460585165E-2</v>
      </c>
      <c r="W139" s="2"/>
      <c r="X139" s="2">
        <f t="shared" si="111"/>
        <v>32353.360000000001</v>
      </c>
      <c r="Y139" s="2"/>
      <c r="Z139" s="19">
        <f t="shared" si="112"/>
        <v>0.69767200141633201</v>
      </c>
    </row>
    <row r="140" spans="1:26" s="24" customFormat="1" hidden="1" outlineLevel="1" x14ac:dyDescent="0.3">
      <c r="A140" s="44"/>
      <c r="B140" s="11" t="str">
        <f>CONCATENATE("          ", "9163", " - ", "MISC. INCOME")</f>
        <v xml:space="preserve">          9163 - MISC. INCOME</v>
      </c>
      <c r="C140" s="11"/>
      <c r="D140" s="2">
        <f>--7027.5</f>
        <v>7027.5</v>
      </c>
      <c r="E140" s="2"/>
      <c r="F140" s="19">
        <f t="shared" si="105"/>
        <v>4.7061938734898744E-2</v>
      </c>
      <c r="G140" s="2"/>
      <c r="H140" s="2">
        <f>0</f>
        <v>0</v>
      </c>
      <c r="I140" s="2"/>
      <c r="J140" s="19">
        <f t="shared" si="106"/>
        <v>0</v>
      </c>
      <c r="K140" s="2"/>
      <c r="L140" s="2">
        <f t="shared" si="107"/>
        <v>7027.5</v>
      </c>
      <c r="M140" s="2"/>
      <c r="N140" s="19">
        <f t="shared" si="108"/>
        <v>0</v>
      </c>
      <c r="O140" s="11"/>
      <c r="P140" s="2">
        <f>--79775.7</f>
        <v>79775.7</v>
      </c>
      <c r="Q140" s="2"/>
      <c r="R140" s="19">
        <f t="shared" si="109"/>
        <v>3.9625462077759702E-2</v>
      </c>
      <c r="S140" s="2"/>
      <c r="T140" s="2">
        <f>--175405.84</f>
        <v>175405.84</v>
      </c>
      <c r="U140" s="2"/>
      <c r="V140" s="19">
        <f t="shared" si="110"/>
        <v>0.17077065813433737</v>
      </c>
      <c r="W140" s="2"/>
      <c r="X140" s="2">
        <f t="shared" si="111"/>
        <v>-95630.14</v>
      </c>
      <c r="Y140" s="2"/>
      <c r="Z140" s="19">
        <f t="shared" si="112"/>
        <v>-0.54519359218598429</v>
      </c>
    </row>
    <row r="141" spans="1:26" x14ac:dyDescent="0.3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3">
      <c r="A142" s="10"/>
      <c r="B142" s="25" t="s">
        <v>276</v>
      </c>
      <c r="C142" s="25"/>
      <c r="D142" s="21">
        <f>+D83-D85+D138</f>
        <v>7166.129999999961</v>
      </c>
      <c r="E142" s="13"/>
      <c r="F142" s="22">
        <f>IF(D$12=0,0,D142/D$12)</f>
        <v>4.7990319605310298E-2</v>
      </c>
      <c r="G142" s="13"/>
      <c r="H142" s="21">
        <f>+H83-H85+H138</f>
        <v>25487.780000000042</v>
      </c>
      <c r="I142" s="13"/>
      <c r="J142" s="22">
        <f>IF(H$12=0,0,H142/H$12)</f>
        <v>0.1800756779372964</v>
      </c>
      <c r="K142" s="15"/>
      <c r="L142" s="21">
        <f>+D142-H142</f>
        <v>-18321.650000000081</v>
      </c>
      <c r="M142" s="15"/>
      <c r="N142" s="22">
        <f>IF(H142=0,0,L142/H142)</f>
        <v>-0.71884055810274772</v>
      </c>
      <c r="O142" s="26"/>
      <c r="P142" s="21">
        <f>+P83-P85+P138</f>
        <v>617774.35999999964</v>
      </c>
      <c r="Q142" s="13"/>
      <c r="R142" s="22">
        <f>IF(P$12=0,0,P142/P$12)</f>
        <v>0.30685527641615501</v>
      </c>
      <c r="S142" s="13"/>
      <c r="T142" s="21">
        <f>+T83-T85+T138</f>
        <v>306972.76000000013</v>
      </c>
      <c r="U142" s="13"/>
      <c r="V142" s="22">
        <f>IF(T$12=0,0,T142/T$12)</f>
        <v>0.29886086035968934</v>
      </c>
      <c r="W142" s="15"/>
      <c r="X142" s="21">
        <f>+P142-T142</f>
        <v>310801.59999999951</v>
      </c>
      <c r="Y142" s="15"/>
      <c r="Z142" s="22">
        <f>IF(T142=0,0,X142/T142)</f>
        <v>1.012472898246735</v>
      </c>
    </row>
    <row r="143" spans="1:26" x14ac:dyDescent="0.3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3">
      <c r="A144" s="51"/>
      <c r="B144" s="10" t="s">
        <v>127</v>
      </c>
      <c r="C144" s="10"/>
      <c r="D144" s="4">
        <v>42126.36</v>
      </c>
      <c r="E144" s="4"/>
      <c r="F144" s="12">
        <f>IF(D$12=0,0,D144/D$12)</f>
        <v>0.28211286708563349</v>
      </c>
      <c r="G144" s="4"/>
      <c r="H144" s="4">
        <v>16861.57</v>
      </c>
      <c r="I144" s="4"/>
      <c r="J144" s="12">
        <f>IF(H$12=0,0,H144/H$12)</f>
        <v>0.11912997714344575</v>
      </c>
      <c r="K144" s="4"/>
      <c r="L144" s="4">
        <f>+D144-H144</f>
        <v>25264.79</v>
      </c>
      <c r="M144" s="4"/>
      <c r="N144" s="12">
        <f>IF(H144=0,0,L144/H144)</f>
        <v>1.4983652174738178</v>
      </c>
      <c r="O144" s="10"/>
      <c r="P144" s="4">
        <v>266487.77</v>
      </c>
      <c r="Q144" s="4"/>
      <c r="R144" s="12">
        <f>IF(P$12=0,0,P144/P$12)</f>
        <v>0.13236738786775612</v>
      </c>
      <c r="S144" s="4"/>
      <c r="T144" s="4">
        <v>186453.58</v>
      </c>
      <c r="U144" s="4"/>
      <c r="V144" s="12">
        <f>IF(T$12=0,0,T144/T$12)</f>
        <v>0.18152645640591739</v>
      </c>
      <c r="W144" s="4"/>
      <c r="X144" s="4">
        <f>+P144-T144</f>
        <v>80034.190000000031</v>
      </c>
      <c r="Y144" s="4"/>
      <c r="Z144" s="12">
        <f>IF(T144=0,0,X144/T144)</f>
        <v>0.42924458731229531</v>
      </c>
    </row>
    <row r="145" spans="1:26" x14ac:dyDescent="0.3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" thickBot="1" x14ac:dyDescent="0.35">
      <c r="A146" s="10"/>
      <c r="B146" s="25" t="s">
        <v>125</v>
      </c>
      <c r="C146" s="25"/>
      <c r="D146" s="36">
        <f>+D142-D144</f>
        <v>-34960.23000000004</v>
      </c>
      <c r="E146" s="13"/>
      <c r="F146" s="31">
        <f>IF(D$12=0,0,D146/D$12)</f>
        <v>-0.23412254748032316</v>
      </c>
      <c r="G146" s="13"/>
      <c r="H146" s="36">
        <f>+H142-H144</f>
        <v>8626.2100000000428</v>
      </c>
      <c r="I146" s="13"/>
      <c r="J146" s="31">
        <f>IF(H$12=0,0,H146/H$12)</f>
        <v>6.094570079385065E-2</v>
      </c>
      <c r="K146" s="15"/>
      <c r="L146" s="36">
        <f>D146-H146</f>
        <v>-43586.440000000082</v>
      </c>
      <c r="M146" s="15"/>
      <c r="N146" s="31">
        <f>IF(H146=0,0,L146/H146)</f>
        <v>-5.0527914344770029</v>
      </c>
      <c r="O146" s="26"/>
      <c r="P146" s="36">
        <f>+P142-P144</f>
        <v>351286.58999999962</v>
      </c>
      <c r="Q146" s="13"/>
      <c r="R146" s="31">
        <f>IF(P$12=0,0,P146/P$12)</f>
        <v>0.17448788854839892</v>
      </c>
      <c r="S146" s="13"/>
      <c r="T146" s="36">
        <f>+T142-T144</f>
        <v>120519.18000000014</v>
      </c>
      <c r="U146" s="13"/>
      <c r="V146" s="31">
        <f>IF(T$12=0,0,T146/T$12)</f>
        <v>0.11733440395377197</v>
      </c>
      <c r="W146" s="15"/>
      <c r="X146" s="36">
        <f>P146-T146</f>
        <v>230767.40999999948</v>
      </c>
      <c r="Y146" s="15"/>
      <c r="Z146" s="31">
        <f>IF(T146=0,0,X146/T146)</f>
        <v>1.9147774652963887</v>
      </c>
    </row>
    <row r="147" spans="1:26" ht="15" thickTop="1" x14ac:dyDescent="0.3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3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" thickBot="1" x14ac:dyDescent="0.35">
      <c r="A149" s="10"/>
      <c r="B149" s="25" t="s">
        <v>293</v>
      </c>
      <c r="C149" s="25"/>
      <c r="D149" s="35">
        <f>SUM(D146:D148)</f>
        <v>-34960.23000000004</v>
      </c>
      <c r="E149" s="13"/>
      <c r="F149" s="32">
        <f>IF(D$12=0,0,D149/D$12)</f>
        <v>-0.23412254748032316</v>
      </c>
      <c r="G149" s="13"/>
      <c r="H149" s="35">
        <f>SUM(H146:H148)</f>
        <v>8626.2100000000428</v>
      </c>
      <c r="I149" s="13"/>
      <c r="J149" s="32">
        <f>IF(H$12=0,0,H149/H$12)</f>
        <v>6.094570079385065E-2</v>
      </c>
      <c r="K149" s="15"/>
      <c r="L149" s="35">
        <f>+D149-H149</f>
        <v>-43586.440000000082</v>
      </c>
      <c r="M149" s="15"/>
      <c r="N149" s="32">
        <f>IF(H149=0,0,L149/H149)</f>
        <v>-5.0527914344770029</v>
      </c>
      <c r="O149" s="26"/>
      <c r="P149" s="35">
        <f>SUM(P146:P148)</f>
        <v>351286.58999999962</v>
      </c>
      <c r="Q149" s="13"/>
      <c r="R149" s="32">
        <f>IF(P$12=0,0,P149/P$12)</f>
        <v>0.17448788854839892</v>
      </c>
      <c r="S149" s="13"/>
      <c r="T149" s="35">
        <f>SUM(T146:T148)</f>
        <v>120519.18000000014</v>
      </c>
      <c r="U149" s="13"/>
      <c r="V149" s="32">
        <f>IF(T$12=0,0,T149/T$12)</f>
        <v>0.11733440395377197</v>
      </c>
      <c r="W149" s="15"/>
      <c r="X149" s="35">
        <f>+P149-T149</f>
        <v>230767.40999999948</v>
      </c>
      <c r="Y149" s="15"/>
      <c r="Z149" s="32">
        <f>IF(T149=0,0,X149/T149)</f>
        <v>1.9147774652963887</v>
      </c>
    </row>
    <row r="150" spans="1:26" ht="15" thickTop="1" x14ac:dyDescent="0.3">
      <c r="A150" s="9"/>
      <c r="C150" s="9"/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3">
      <c r="A151" s="9"/>
      <c r="B151" s="54">
        <v>44604.028475694446</v>
      </c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3">
      <c r="A152" s="9"/>
      <c r="B152" s="53" t="s">
        <v>56</v>
      </c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3">
      <c r="A153" s="9"/>
      <c r="B153" s="59"/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3"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","326", " - ", "2nd Street Store")</f>
        <v>Department 326 - 2nd Street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26591.43</v>
      </c>
      <c r="E12" s="4"/>
      <c r="F12" s="12"/>
      <c r="G12" s="4"/>
      <c r="H12" s="4">
        <f>SUM(OSRRefH13x_0)</f>
        <v>18753.109999999997</v>
      </c>
      <c r="I12" s="4"/>
      <c r="J12" s="12"/>
      <c r="K12" s="4"/>
      <c r="L12" s="4">
        <f t="shared" ref="L12:L36" si="0">+D12-H12</f>
        <v>7838.3200000000033</v>
      </c>
      <c r="M12" s="4"/>
      <c r="N12" s="12">
        <f t="shared" ref="N12:N36" si="1">IF(H12=0,0,L12/H12)</f>
        <v>0.4179744053119725</v>
      </c>
      <c r="O12" s="10"/>
      <c r="P12" s="4">
        <f>SUM(OSRRefP13x_0)</f>
        <v>231306.01</v>
      </c>
      <c r="Q12" s="4"/>
      <c r="R12" s="12"/>
      <c r="S12" s="4"/>
      <c r="T12" s="4">
        <f>SUM(OSRRefT13x_0)</f>
        <v>163670.20000000007</v>
      </c>
      <c r="U12" s="4"/>
      <c r="V12" s="12"/>
      <c r="W12" s="4"/>
      <c r="X12" s="4">
        <f t="shared" ref="X12:X36" si="2">+P12-T12</f>
        <v>67635.809999999939</v>
      </c>
      <c r="Y12" s="4"/>
      <c r="Z12" s="12">
        <f t="shared" ref="Z12:Z36" si="3">IF(T12=0,0,X12/T12)</f>
        <v>0.41324450022056497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--29822.98</f>
        <v>29822.98</v>
      </c>
      <c r="E13" s="2"/>
      <c r="F13" s="19"/>
      <c r="G13" s="2"/>
      <c r="H13" s="2">
        <f>-1022.41</f>
        <v>-1022.41</v>
      </c>
      <c r="I13" s="2"/>
      <c r="J13" s="19"/>
      <c r="K13" s="2"/>
      <c r="L13" s="2">
        <f t="shared" si="0"/>
        <v>30845.39</v>
      </c>
      <c r="M13" s="2"/>
      <c r="N13" s="19">
        <f t="shared" si="1"/>
        <v>-30.169296074960144</v>
      </c>
      <c r="O13" s="11"/>
      <c r="P13" s="2">
        <f>--245847.65</f>
        <v>245847.65</v>
      </c>
      <c r="Q13" s="2"/>
      <c r="R13" s="19"/>
      <c r="S13" s="2"/>
      <c r="T13" s="2">
        <f>-4366.12</f>
        <v>-4366.12</v>
      </c>
      <c r="U13" s="2"/>
      <c r="V13" s="19"/>
      <c r="W13" s="2"/>
      <c r="X13" s="2">
        <f t="shared" si="2"/>
        <v>250213.77</v>
      </c>
      <c r="Y13" s="2"/>
      <c r="Z13" s="19">
        <f t="shared" si="3"/>
        <v>-57.308037800152078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2" si="4">0</f>
        <v>0</v>
      </c>
      <c r="E14" s="2"/>
      <c r="F14" s="19"/>
      <c r="G14" s="2"/>
      <c r="H14" s="2">
        <f>--34.62</f>
        <v>34.619999999999997</v>
      </c>
      <c r="I14" s="2"/>
      <c r="J14" s="19"/>
      <c r="K14" s="2"/>
      <c r="L14" s="2">
        <f t="shared" si="0"/>
        <v>-34.619999999999997</v>
      </c>
      <c r="M14" s="2"/>
      <c r="N14" s="19">
        <f t="shared" si="1"/>
        <v>-1</v>
      </c>
      <c r="O14" s="11"/>
      <c r="P14" s="2">
        <f t="shared" ref="P14:P22" si="5">0</f>
        <v>0</v>
      </c>
      <c r="Q14" s="2"/>
      <c r="R14" s="19"/>
      <c r="S14" s="2"/>
      <c r="T14" s="2">
        <f>--167.5</f>
        <v>167.5</v>
      </c>
      <c r="U14" s="2"/>
      <c r="V14" s="19"/>
      <c r="W14" s="2"/>
      <c r="X14" s="2">
        <f t="shared" si="2"/>
        <v>-167.5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--60.44</f>
        <v>60.44</v>
      </c>
      <c r="I15" s="2"/>
      <c r="J15" s="19"/>
      <c r="K15" s="2"/>
      <c r="L15" s="2">
        <f t="shared" si="0"/>
        <v>-60.44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--291.11</f>
        <v>291.11</v>
      </c>
      <c r="U15" s="2"/>
      <c r="V15" s="19"/>
      <c r="W15" s="2"/>
      <c r="X15" s="2">
        <f t="shared" si="2"/>
        <v>-291.11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--3</f>
        <v>3</v>
      </c>
      <c r="I16" s="2"/>
      <c r="J16" s="19"/>
      <c r="K16" s="2"/>
      <c r="L16" s="2">
        <f t="shared" si="0"/>
        <v>-3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--29.24</f>
        <v>29.24</v>
      </c>
      <c r="U16" s="2"/>
      <c r="V16" s="19"/>
      <c r="W16" s="2"/>
      <c r="X16" s="2">
        <f t="shared" si="2"/>
        <v>-29.24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 t="shared" si="4"/>
        <v>0</v>
      </c>
      <c r="E17" s="2"/>
      <c r="F17" s="19"/>
      <c r="G17" s="2"/>
      <c r="H17" s="2">
        <f>--17116.98</f>
        <v>17116.98</v>
      </c>
      <c r="I17" s="2"/>
      <c r="J17" s="19"/>
      <c r="K17" s="2"/>
      <c r="L17" s="2">
        <f t="shared" si="0"/>
        <v>-17116.98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--135980.92</f>
        <v>135980.92000000001</v>
      </c>
      <c r="U17" s="2"/>
      <c r="V17" s="19"/>
      <c r="W17" s="2"/>
      <c r="X17" s="2">
        <f t="shared" si="2"/>
        <v>-135980.92000000001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 t="shared" si="4"/>
        <v>0</v>
      </c>
      <c r="E18" s="2"/>
      <c r="F18" s="19"/>
      <c r="G18" s="2"/>
      <c r="H18" s="2">
        <f>--2350.56</f>
        <v>2350.56</v>
      </c>
      <c r="I18" s="2"/>
      <c r="J18" s="19"/>
      <c r="K18" s="2"/>
      <c r="L18" s="2">
        <f t="shared" si="0"/>
        <v>-2350.56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--21297.98</f>
        <v>21297.98</v>
      </c>
      <c r="U18" s="2"/>
      <c r="V18" s="19"/>
      <c r="W18" s="2"/>
      <c r="X18" s="2">
        <f t="shared" si="2"/>
        <v>-21297.98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 t="shared" si="4"/>
        <v>0</v>
      </c>
      <c r="E19" s="2"/>
      <c r="F19" s="19"/>
      <c r="G19" s="2"/>
      <c r="H19" s="2">
        <f>--472.39</f>
        <v>472.39</v>
      </c>
      <c r="I19" s="2"/>
      <c r="J19" s="19"/>
      <c r="K19" s="2"/>
      <c r="L19" s="2">
        <f t="shared" si="0"/>
        <v>-472.39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--6626.33</f>
        <v>6626.33</v>
      </c>
      <c r="U19" s="2"/>
      <c r="V19" s="19"/>
      <c r="W19" s="2"/>
      <c r="X19" s="2">
        <f t="shared" si="2"/>
        <v>-6626.33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 t="shared" si="4"/>
        <v>0</v>
      </c>
      <c r="E20" s="2"/>
      <c r="F20" s="19"/>
      <c r="G20" s="2"/>
      <c r="H20" s="2">
        <f>--1965.02</f>
        <v>1965.02</v>
      </c>
      <c r="I20" s="2"/>
      <c r="J20" s="19"/>
      <c r="K20" s="2"/>
      <c r="L20" s="2">
        <f t="shared" si="0"/>
        <v>-1965.02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--8205.25</f>
        <v>8205.25</v>
      </c>
      <c r="U20" s="2"/>
      <c r="V20" s="19"/>
      <c r="W20" s="2"/>
      <c r="X20" s="2">
        <f t="shared" si="2"/>
        <v>-8205.25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 t="shared" si="4"/>
        <v>0</v>
      </c>
      <c r="E21" s="2"/>
      <c r="F21" s="19"/>
      <c r="G21" s="2"/>
      <c r="H21" s="2">
        <f>--92.31</f>
        <v>92.31</v>
      </c>
      <c r="I21" s="2"/>
      <c r="J21" s="19"/>
      <c r="K21" s="2"/>
      <c r="L21" s="2">
        <f t="shared" si="0"/>
        <v>-92.31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--1933.17</f>
        <v>1933.17</v>
      </c>
      <c r="U21" s="2"/>
      <c r="V21" s="19"/>
      <c r="W21" s="2"/>
      <c r="X21" s="2">
        <f t="shared" si="2"/>
        <v>-1933.17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si="4"/>
        <v>0</v>
      </c>
      <c r="E22" s="2"/>
      <c r="F22" s="19"/>
      <c r="G22" s="2"/>
      <c r="H22" s="2">
        <f t="shared" ref="H22:H29" si="6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5"/>
        <v>0</v>
      </c>
      <c r="Q22" s="2"/>
      <c r="R22" s="19"/>
      <c r="S22" s="2"/>
      <c r="T22" s="2">
        <f>--326.37</f>
        <v>326.37</v>
      </c>
      <c r="U22" s="2"/>
      <c r="V22" s="19"/>
      <c r="W22" s="2"/>
      <c r="X22" s="2">
        <f t="shared" si="2"/>
        <v>-326.37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"4100", " - ", "NON-TAXABLE SALES")</f>
        <v xml:space="preserve">          4100 - NON-TAXABLE SALES</v>
      </c>
      <c r="C23" s="11"/>
      <c r="D23" s="2">
        <f>--1.64</f>
        <v>1.64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1.64</v>
      </c>
      <c r="M23" s="2"/>
      <c r="N23" s="19">
        <f t="shared" si="1"/>
        <v>0</v>
      </c>
      <c r="O23" s="11"/>
      <c r="P23" s="2">
        <f>--154.79</f>
        <v>154.79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154.79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ref="D24:D27" si="7">0</f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ref="P24:P27" si="8">0</f>
        <v>0</v>
      </c>
      <c r="Q24" s="2"/>
      <c r="R24" s="19"/>
      <c r="S24" s="2"/>
      <c r="T24" s="2">
        <f>--37.5</f>
        <v>37.5</v>
      </c>
      <c r="U24" s="2"/>
      <c r="V24" s="19"/>
      <c r="W24" s="2"/>
      <c r="X24" s="2">
        <f t="shared" si="2"/>
        <v>-37.5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7"/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8"/>
        <v>0</v>
      </c>
      <c r="Q25" s="2"/>
      <c r="R25" s="19"/>
      <c r="S25" s="2"/>
      <c r="T25" s="2">
        <f>--9</f>
        <v>9</v>
      </c>
      <c r="U25" s="2"/>
      <c r="V25" s="19"/>
      <c r="W25" s="2"/>
      <c r="X25" s="2">
        <f t="shared" si="2"/>
        <v>-9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 t="shared" si="7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8"/>
        <v>0</v>
      </c>
      <c r="Q26" s="2"/>
      <c r="R26" s="19"/>
      <c r="S26" s="2"/>
      <c r="T26" s="2">
        <f>--165.78</f>
        <v>165.78</v>
      </c>
      <c r="U26" s="2"/>
      <c r="V26" s="19"/>
      <c r="W26" s="2"/>
      <c r="X26" s="2">
        <f t="shared" si="2"/>
        <v>-165.78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"4145", " - ", "NON-TAXABLE SALES-SPECIAL ORDE")</f>
        <v xml:space="preserve">          4145 - NON-TAXABLE SALES-SPECIAL ORDE</v>
      </c>
      <c r="C27" s="11"/>
      <c r="D27" s="2">
        <f t="shared" si="7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--7</f>
        <v>7</v>
      </c>
      <c r="U27" s="2"/>
      <c r="V27" s="19"/>
      <c r="W27" s="2"/>
      <c r="X27" s="2">
        <f t="shared" si="2"/>
        <v>-7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-2734.35</f>
        <v>-2734.35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-2734.35</v>
      </c>
      <c r="M28" s="2"/>
      <c r="N28" s="19">
        <f t="shared" si="1"/>
        <v>0</v>
      </c>
      <c r="O28" s="11"/>
      <c r="P28" s="2">
        <f>-9513.83</f>
        <v>-9513.83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-9513.83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ref="D29:D35" si="9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5" si="10">0</f>
        <v>0</v>
      </c>
      <c r="Q29" s="2"/>
      <c r="R29" s="19"/>
      <c r="S29" s="2"/>
      <c r="T29" s="2">
        <f>-27.85</f>
        <v>-27.85</v>
      </c>
      <c r="U29" s="2"/>
      <c r="V29" s="19"/>
      <c r="W29" s="2"/>
      <c r="X29" s="2">
        <f t="shared" si="2"/>
        <v>27.85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9"/>
        <v>0</v>
      </c>
      <c r="E30" s="2"/>
      <c r="F30" s="19"/>
      <c r="G30" s="2"/>
      <c r="H30" s="2">
        <f>-3.99</f>
        <v>-3.99</v>
      </c>
      <c r="I30" s="2"/>
      <c r="J30" s="19"/>
      <c r="K30" s="2"/>
      <c r="L30" s="2">
        <f t="shared" si="0"/>
        <v>3.99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-43.21</f>
        <v>-43.21</v>
      </c>
      <c r="U30" s="2"/>
      <c r="V30" s="19"/>
      <c r="W30" s="2"/>
      <c r="X30" s="2">
        <f t="shared" si="2"/>
        <v>43.21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 t="shared" si="9"/>
        <v>0</v>
      </c>
      <c r="E31" s="2"/>
      <c r="F31" s="19"/>
      <c r="G31" s="2"/>
      <c r="H31" s="2">
        <f>-2310.86</f>
        <v>-2310.86</v>
      </c>
      <c r="I31" s="2"/>
      <c r="J31" s="19"/>
      <c r="K31" s="2"/>
      <c r="L31" s="2">
        <f t="shared" si="0"/>
        <v>2310.86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-6402.33</f>
        <v>-6402.33</v>
      </c>
      <c r="U31" s="2"/>
      <c r="V31" s="19"/>
      <c r="W31" s="2"/>
      <c r="X31" s="2">
        <f t="shared" si="2"/>
        <v>6402.33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 t="shared" si="9"/>
        <v>0</v>
      </c>
      <c r="E32" s="2"/>
      <c r="F32" s="19"/>
      <c r="G32" s="2"/>
      <c r="H32" s="2">
        <f>-4.95</f>
        <v>-4.95</v>
      </c>
      <c r="I32" s="2"/>
      <c r="J32" s="19"/>
      <c r="K32" s="2"/>
      <c r="L32" s="2">
        <f t="shared" si="0"/>
        <v>4.95</v>
      </c>
      <c r="M32" s="2"/>
      <c r="N32" s="19">
        <f t="shared" si="1"/>
        <v>-1</v>
      </c>
      <c r="O32" s="11"/>
      <c r="P32" s="2">
        <f t="shared" si="10"/>
        <v>0</v>
      </c>
      <c r="Q32" s="2"/>
      <c r="R32" s="19"/>
      <c r="S32" s="2"/>
      <c r="T32" s="2">
        <f>-279.36</f>
        <v>-279.36</v>
      </c>
      <c r="U32" s="2"/>
      <c r="V32" s="19"/>
      <c r="W32" s="2"/>
      <c r="X32" s="2">
        <f t="shared" si="2"/>
        <v>279.36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 t="shared" si="9"/>
        <v>0</v>
      </c>
      <c r="E33" s="2"/>
      <c r="F33" s="19"/>
      <c r="G33" s="2"/>
      <c r="H33" s="2">
        <f t="shared" ref="H33:H36" si="11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10"/>
        <v>0</v>
      </c>
      <c r="Q33" s="2"/>
      <c r="R33" s="19"/>
      <c r="S33" s="2"/>
      <c r="T33" s="2">
        <f>-251.15</f>
        <v>-251.15</v>
      </c>
      <c r="U33" s="2"/>
      <c r="V33" s="19"/>
      <c r="W33" s="2"/>
      <c r="X33" s="2">
        <f t="shared" si="2"/>
        <v>251.15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si="9"/>
        <v>0</v>
      </c>
      <c r="E34" s="2"/>
      <c r="F34" s="19"/>
      <c r="G34" s="2"/>
      <c r="H34" s="2">
        <f t="shared" si="11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si="10"/>
        <v>0</v>
      </c>
      <c r="Q34" s="2"/>
      <c r="R34" s="19"/>
      <c r="S34" s="2"/>
      <c r="T34" s="2">
        <f>-29.93</f>
        <v>-29.93</v>
      </c>
      <c r="U34" s="2"/>
      <c r="V34" s="19"/>
      <c r="W34" s="2"/>
      <c r="X34" s="2">
        <f t="shared" si="2"/>
        <v>29.93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9"/>
        <v>0</v>
      </c>
      <c r="E35" s="2"/>
      <c r="F35" s="19"/>
      <c r="G35" s="2"/>
      <c r="H35" s="2">
        <f t="shared" si="11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10"/>
        <v>0</v>
      </c>
      <c r="Q35" s="2"/>
      <c r="R35" s="19"/>
      <c r="S35" s="2"/>
      <c r="T35" s="2">
        <f>-7</f>
        <v>-7</v>
      </c>
      <c r="U35" s="2"/>
      <c r="V35" s="19"/>
      <c r="W35" s="2"/>
      <c r="X35" s="2">
        <f t="shared" si="2"/>
        <v>7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-498.84</f>
        <v>-498.84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-498.84</v>
      </c>
      <c r="M36" s="2"/>
      <c r="N36" s="19">
        <f t="shared" si="1"/>
        <v>0</v>
      </c>
      <c r="O36" s="11"/>
      <c r="P36" s="2">
        <f>-5182.6</f>
        <v>-5182.6000000000004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-5182.6000000000004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6" t="s">
        <v>256</v>
      </c>
      <c r="C38" s="10"/>
      <c r="D38" s="4">
        <f>SUM(OSRRefD16x_0)</f>
        <v>11016.64</v>
      </c>
      <c r="E38" s="4"/>
      <c r="F38" s="12">
        <f t="shared" ref="F38:F45" si="12">IF(D$12=0,0,D38/D$12)</f>
        <v>0.41429287556178812</v>
      </c>
      <c r="G38" s="4"/>
      <c r="H38" s="4">
        <f>SUM(OSRRefH16x_0)</f>
        <v>9339</v>
      </c>
      <c r="I38" s="4"/>
      <c r="J38" s="12">
        <f t="shared" ref="J38:J45" si="13">IF(H$12=0,0,H38/H$12)</f>
        <v>0.49799739883144722</v>
      </c>
      <c r="K38" s="4"/>
      <c r="L38" s="4">
        <f t="shared" ref="L38:L45" si="14">+D38-H38</f>
        <v>1677.6399999999994</v>
      </c>
      <c r="M38" s="4"/>
      <c r="N38" s="12">
        <f t="shared" ref="N38:N45" si="15">IF(H38=0,0,L38/H38)</f>
        <v>0.17963807688189307</v>
      </c>
      <c r="O38" s="10"/>
      <c r="P38" s="4">
        <f>SUM(OSRRefP16x_0)</f>
        <v>107780.31</v>
      </c>
      <c r="Q38" s="4"/>
      <c r="R38" s="12">
        <f t="shared" ref="R38:R45" si="16">IF(P$12=0,0,P38/P$12)</f>
        <v>0.46596415717862233</v>
      </c>
      <c r="S38" s="4"/>
      <c r="T38" s="4">
        <f>SUM(OSRRefT16x_0)</f>
        <v>72879</v>
      </c>
      <c r="U38" s="4"/>
      <c r="V38" s="12">
        <f t="shared" ref="V38:V45" si="17">IF(T$12=0,0,T38/T$12)</f>
        <v>0.44527959274198947</v>
      </c>
      <c r="W38" s="4"/>
      <c r="X38" s="4">
        <f t="shared" ref="X38:X45" si="18">+P38-T38</f>
        <v>34901.31</v>
      </c>
      <c r="Y38" s="4"/>
      <c r="Z38" s="12">
        <f t="shared" ref="Z38:Z45" si="19">IF(T38=0,0,X38/T38)</f>
        <v>0.47889392005927628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3707.6</v>
      </c>
      <c r="E39" s="2"/>
      <c r="F39" s="19">
        <f t="shared" si="12"/>
        <v>0.13942837974490277</v>
      </c>
      <c r="G39" s="2"/>
      <c r="H39" s="2"/>
      <c r="I39" s="2"/>
      <c r="J39" s="19">
        <f t="shared" si="13"/>
        <v>0</v>
      </c>
      <c r="K39" s="2"/>
      <c r="L39" s="2">
        <f t="shared" si="14"/>
        <v>3707.6</v>
      </c>
      <c r="M39" s="2"/>
      <c r="N39" s="19">
        <f t="shared" si="15"/>
        <v>0</v>
      </c>
      <c r="O39" s="11"/>
      <c r="P39" s="2">
        <v>5388.9</v>
      </c>
      <c r="Q39" s="2"/>
      <c r="R39" s="19">
        <f t="shared" si="16"/>
        <v>2.3297708520414146E-2</v>
      </c>
      <c r="S39" s="2"/>
      <c r="T39" s="2"/>
      <c r="U39" s="2"/>
      <c r="V39" s="19">
        <f t="shared" si="17"/>
        <v>0</v>
      </c>
      <c r="W39" s="2"/>
      <c r="X39" s="2">
        <f t="shared" si="18"/>
        <v>5388.9</v>
      </c>
      <c r="Y39" s="2"/>
      <c r="Z39" s="19">
        <f t="shared" si="19"/>
        <v>0</v>
      </c>
    </row>
    <row r="40" spans="1:26" s="24" customFormat="1" hidden="1" outlineLevel="1" x14ac:dyDescent="0.3">
      <c r="A40" s="44"/>
      <c r="B40" s="11" t="str">
        <f>CONCATENATE("          ", "5040", " - ", "PURCHASES @ COST-LOGO CLOTHING")</f>
        <v xml:space="preserve">          5040 - PURCHASES @ COST-LOGO CLOTHING</v>
      </c>
      <c r="C40" s="11"/>
      <c r="D40" s="2"/>
      <c r="E40" s="2"/>
      <c r="F40" s="19">
        <f t="shared" si="12"/>
        <v>0</v>
      </c>
      <c r="G40" s="2"/>
      <c r="H40" s="2"/>
      <c r="I40" s="2"/>
      <c r="J40" s="19">
        <f t="shared" si="13"/>
        <v>0</v>
      </c>
      <c r="K40" s="2"/>
      <c r="L40" s="2">
        <f t="shared" si="14"/>
        <v>0</v>
      </c>
      <c r="M40" s="2"/>
      <c r="N40" s="19">
        <f t="shared" si="15"/>
        <v>0</v>
      </c>
      <c r="O40" s="11"/>
      <c r="P40" s="2"/>
      <c r="Q40" s="2"/>
      <c r="R40" s="19">
        <f t="shared" si="16"/>
        <v>0</v>
      </c>
      <c r="S40" s="2"/>
      <c r="T40" s="2">
        <v>0</v>
      </c>
      <c r="U40" s="2"/>
      <c r="V40" s="19">
        <f t="shared" si="17"/>
        <v>0</v>
      </c>
      <c r="W40" s="2"/>
      <c r="X40" s="2">
        <f t="shared" si="18"/>
        <v>0</v>
      </c>
      <c r="Y40" s="2"/>
      <c r="Z40" s="19">
        <f t="shared" si="19"/>
        <v>0</v>
      </c>
    </row>
    <row r="41" spans="1:26" s="24" customFormat="1" hidden="1" outlineLevel="1" x14ac:dyDescent="0.3">
      <c r="A41" s="44"/>
      <c r="B41" s="11" t="str">
        <f>CONCATENATE("          ", "5041", " - ", "PURCHASES @ COST-LOGO GIFTS")</f>
        <v xml:space="preserve">          5041 - PURCHASES @ COST-LOGO GIFTS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207.6</v>
      </c>
      <c r="U41" s="2"/>
      <c r="V41" s="19">
        <f t="shared" si="17"/>
        <v>1.268404388825821E-3</v>
      </c>
      <c r="W41" s="2"/>
      <c r="X41" s="2">
        <f t="shared" si="18"/>
        <v>-207.6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"5042", " - ", "PURCHASES @ COST-EVERYDAY GIFT")</f>
        <v xml:space="preserve">          5042 - PURCHASES @ COST-EVERYDAY GIFT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7946.04</v>
      </c>
      <c r="U42" s="2"/>
      <c r="V42" s="19">
        <f t="shared" si="17"/>
        <v>4.8549094459467861E-2</v>
      </c>
      <c r="W42" s="2"/>
      <c r="X42" s="2">
        <f t="shared" si="18"/>
        <v>-7946.04</v>
      </c>
      <c r="Y42" s="2"/>
      <c r="Z42" s="19">
        <f t="shared" si="19"/>
        <v>-1</v>
      </c>
    </row>
    <row r="43" spans="1:26" s="24" customFormat="1" hidden="1" outlineLevel="1" x14ac:dyDescent="0.3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-3707.6</v>
      </c>
      <c r="E43" s="2"/>
      <c r="F43" s="19">
        <f t="shared" si="12"/>
        <v>-0.13942837974490277</v>
      </c>
      <c r="G43" s="2"/>
      <c r="H43" s="2"/>
      <c r="I43" s="2"/>
      <c r="J43" s="19">
        <f t="shared" si="13"/>
        <v>0</v>
      </c>
      <c r="K43" s="2"/>
      <c r="L43" s="2">
        <f t="shared" si="14"/>
        <v>-3707.6</v>
      </c>
      <c r="M43" s="2"/>
      <c r="N43" s="19">
        <f t="shared" si="15"/>
        <v>0</v>
      </c>
      <c r="O43" s="11"/>
      <c r="P43" s="2">
        <v>-5481.89</v>
      </c>
      <c r="Q43" s="2"/>
      <c r="R43" s="19">
        <f t="shared" si="16"/>
        <v>-2.3699730067541263E-2</v>
      </c>
      <c r="S43" s="2"/>
      <c r="T43" s="2">
        <v>-8153.64</v>
      </c>
      <c r="U43" s="2"/>
      <c r="V43" s="19">
        <f t="shared" si="17"/>
        <v>-4.9817498848293687E-2</v>
      </c>
      <c r="W43" s="2"/>
      <c r="X43" s="2">
        <f t="shared" si="18"/>
        <v>2671.75</v>
      </c>
      <c r="Y43" s="2"/>
      <c r="Z43" s="19">
        <f t="shared" si="19"/>
        <v>-0.32767573746204148</v>
      </c>
    </row>
    <row r="44" spans="1:26" s="24" customFormat="1" hidden="1" outlineLevel="1" x14ac:dyDescent="0.3">
      <c r="A44" s="44"/>
      <c r="B44" s="11" t="str">
        <f>CONCATENATE("          ", "5300", " - ", "COG$ OFFSET")</f>
        <v xml:space="preserve">          5300 - COG$ OFFSET</v>
      </c>
      <c r="C44" s="11"/>
      <c r="D44" s="2">
        <v>11016.64</v>
      </c>
      <c r="E44" s="2"/>
      <c r="F44" s="19">
        <f t="shared" si="12"/>
        <v>0.41429287556178812</v>
      </c>
      <c r="G44" s="2"/>
      <c r="H44" s="2">
        <v>9339</v>
      </c>
      <c r="I44" s="2"/>
      <c r="J44" s="19">
        <f t="shared" si="13"/>
        <v>0.49799739883144722</v>
      </c>
      <c r="K44" s="2"/>
      <c r="L44" s="2">
        <f t="shared" si="14"/>
        <v>1677.6399999999994</v>
      </c>
      <c r="M44" s="2"/>
      <c r="N44" s="19">
        <f t="shared" si="15"/>
        <v>0.17963807688189307</v>
      </c>
      <c r="O44" s="11"/>
      <c r="P44" s="2">
        <v>107780.31</v>
      </c>
      <c r="Q44" s="2"/>
      <c r="R44" s="19">
        <f t="shared" si="16"/>
        <v>0.46596415717862233</v>
      </c>
      <c r="S44" s="2"/>
      <c r="T44" s="2">
        <v>72879</v>
      </c>
      <c r="U44" s="2"/>
      <c r="V44" s="19">
        <f t="shared" si="17"/>
        <v>0.44527959274198947</v>
      </c>
      <c r="W44" s="2"/>
      <c r="X44" s="2">
        <f t="shared" si="18"/>
        <v>34901.31</v>
      </c>
      <c r="Y44" s="2"/>
      <c r="Z44" s="19">
        <f t="shared" si="19"/>
        <v>0.47889392005927628</v>
      </c>
    </row>
    <row r="45" spans="1:26" s="24" customFormat="1" hidden="1" outlineLevel="1" x14ac:dyDescent="0.3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12"/>
        <v>0</v>
      </c>
      <c r="G45" s="2"/>
      <c r="H45" s="2"/>
      <c r="I45" s="2"/>
      <c r="J45" s="19">
        <f t="shared" si="13"/>
        <v>0</v>
      </c>
      <c r="K45" s="2"/>
      <c r="L45" s="2">
        <f t="shared" si="14"/>
        <v>0</v>
      </c>
      <c r="M45" s="2"/>
      <c r="N45" s="19">
        <f t="shared" si="15"/>
        <v>0</v>
      </c>
      <c r="O45" s="11"/>
      <c r="P45" s="2">
        <v>92.99</v>
      </c>
      <c r="Q45" s="2"/>
      <c r="R45" s="19">
        <f t="shared" si="16"/>
        <v>4.0202154712711523E-4</v>
      </c>
      <c r="S45" s="2"/>
      <c r="T45" s="2"/>
      <c r="U45" s="2"/>
      <c r="V45" s="19">
        <f t="shared" si="17"/>
        <v>0</v>
      </c>
      <c r="W45" s="2"/>
      <c r="X45" s="2">
        <f t="shared" si="18"/>
        <v>92.99</v>
      </c>
      <c r="Y45" s="2"/>
      <c r="Z45" s="19">
        <f t="shared" si="19"/>
        <v>0</v>
      </c>
    </row>
    <row r="46" spans="1:26" x14ac:dyDescent="0.3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10"/>
      <c r="B47" s="25" t="s">
        <v>107</v>
      </c>
      <c r="C47" s="25"/>
      <c r="D47" s="21">
        <f>D12-D38</f>
        <v>15574.79</v>
      </c>
      <c r="E47" s="13"/>
      <c r="F47" s="22">
        <f>IF(D$12=0,0,D47/D$12)</f>
        <v>0.58570712443821193</v>
      </c>
      <c r="G47" s="13"/>
      <c r="H47" s="21">
        <f>H12-H38</f>
        <v>9414.1099999999969</v>
      </c>
      <c r="I47" s="13"/>
      <c r="J47" s="22">
        <f>IF(H$12=0,0,H47/H$12)</f>
        <v>0.50200260116855278</v>
      </c>
      <c r="K47" s="15"/>
      <c r="L47" s="21">
        <f>+D47-H47</f>
        <v>6160.6800000000039</v>
      </c>
      <c r="M47" s="15"/>
      <c r="N47" s="22">
        <f>IF(H47=0,0,L47/H47)</f>
        <v>0.65440917941260579</v>
      </c>
      <c r="O47" s="26"/>
      <c r="P47" s="21">
        <f>P12-P38</f>
        <v>123525.70000000001</v>
      </c>
      <c r="Q47" s="13"/>
      <c r="R47" s="22">
        <f>IF(P$12=0,0,P47/P$12)</f>
        <v>0.53403584282137762</v>
      </c>
      <c r="S47" s="13"/>
      <c r="T47" s="21">
        <f>T12-T38</f>
        <v>90791.20000000007</v>
      </c>
      <c r="U47" s="13"/>
      <c r="V47" s="22">
        <f>IF(T$12=0,0,T47/T$12)</f>
        <v>0.55472040725801053</v>
      </c>
      <c r="W47" s="15"/>
      <c r="X47" s="21">
        <f>+P47-T47</f>
        <v>32734.499999999942</v>
      </c>
      <c r="Y47" s="15"/>
      <c r="Z47" s="22">
        <f>IF(T47=0,0,X47/T47)</f>
        <v>0.36054705742406662</v>
      </c>
    </row>
    <row r="48" spans="1:26" x14ac:dyDescent="0.3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3">
      <c r="A49" s="10"/>
      <c r="B49" s="26" t="s">
        <v>294</v>
      </c>
      <c r="C49" s="10"/>
      <c r="D49" s="20">
        <f>SUM(OSRRefD22x_0)</f>
        <v>18709.120000000003</v>
      </c>
      <c r="E49" s="20"/>
      <c r="F49" s="30">
        <f t="shared" ref="F49:F58" si="20">IF(D$12=0,0,D49/D$12)</f>
        <v>0.70357705471274024</v>
      </c>
      <c r="G49" s="20"/>
      <c r="H49" s="20">
        <f>SUM(OSRRefH22x_0)</f>
        <v>22705.47</v>
      </c>
      <c r="I49" s="20"/>
      <c r="J49" s="30">
        <f t="shared" ref="J49:J58" si="21">IF(H$12=0,0,H49/H$12)</f>
        <v>1.2107575756767814</v>
      </c>
      <c r="K49" s="4"/>
      <c r="L49" s="20">
        <f t="shared" ref="L49:L58" si="22">+D49-H49</f>
        <v>-3996.3499999999985</v>
      </c>
      <c r="M49" s="4"/>
      <c r="N49" s="30">
        <f t="shared" ref="N49:N58" si="23">IF(H49=0,0,L49/H49)</f>
        <v>-0.17600824823269451</v>
      </c>
      <c r="O49" s="10"/>
      <c r="P49" s="20">
        <f>SUM(OSRRefP22x_0)</f>
        <v>122005.26000000002</v>
      </c>
      <c r="Q49" s="20"/>
      <c r="R49" s="30">
        <f t="shared" ref="R49:R58" si="24">IF(P$12=0,0,P49/P$12)</f>
        <v>0.52746255923051899</v>
      </c>
      <c r="S49" s="20"/>
      <c r="T49" s="20">
        <f>SUM(OSRRefT22x_0)</f>
        <v>152726.88999999998</v>
      </c>
      <c r="U49" s="20"/>
      <c r="V49" s="30">
        <f t="shared" ref="V49:V58" si="25">IF(T$12=0,0,T49/T$12)</f>
        <v>0.933138042233711</v>
      </c>
      <c r="W49" s="4"/>
      <c r="X49" s="20">
        <f t="shared" ref="X49:X58" si="26">+P49-T49</f>
        <v>-30721.629999999961</v>
      </c>
      <c r="Y49" s="4"/>
      <c r="Z49" s="30">
        <f t="shared" ref="Z49:Z58" si="27">IF(T49=0,0,X49/T49)</f>
        <v>-0.20115403384433458</v>
      </c>
    </row>
    <row r="50" spans="1:26" s="29" customFormat="1" outlineLevel="1" collapsed="1" x14ac:dyDescent="0.3">
      <c r="A50" s="28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1276.6499999999999</v>
      </c>
      <c r="E50" s="1"/>
      <c r="F50" s="5">
        <f t="shared" si="20"/>
        <v>4.8009828730534609E-2</v>
      </c>
      <c r="G50" s="1"/>
      <c r="H50" s="1">
        <f>SUM(OSRRefH22_0x_0)</f>
        <v>4683.9400000000005</v>
      </c>
      <c r="I50" s="1"/>
      <c r="J50" s="5">
        <f t="shared" si="21"/>
        <v>0.24976870503079229</v>
      </c>
      <c r="K50" s="1"/>
      <c r="L50" s="1">
        <f t="shared" si="22"/>
        <v>-3407.2900000000009</v>
      </c>
      <c r="M50" s="1"/>
      <c r="N50" s="5">
        <f t="shared" si="23"/>
        <v>-0.727441000525199</v>
      </c>
      <c r="O50" s="14"/>
      <c r="P50" s="1">
        <f>SUM(OSRRefP22_0x_0)</f>
        <v>8868.119999999999</v>
      </c>
      <c r="Q50" s="1"/>
      <c r="R50" s="5">
        <f t="shared" si="24"/>
        <v>3.8339341031389536E-2</v>
      </c>
      <c r="S50" s="1"/>
      <c r="T50" s="1">
        <f>SUM(OSRRefT22_0x_0)</f>
        <v>35811.009999999995</v>
      </c>
      <c r="U50" s="1"/>
      <c r="V50" s="5">
        <f t="shared" si="25"/>
        <v>0.21879981817093141</v>
      </c>
      <c r="W50" s="1"/>
      <c r="X50" s="1">
        <f t="shared" si="26"/>
        <v>-26942.889999999996</v>
      </c>
      <c r="Y50" s="1"/>
      <c r="Z50" s="5">
        <f t="shared" si="27"/>
        <v>-0.75236330949615771</v>
      </c>
    </row>
    <row r="51" spans="1:26" s="24" customFormat="1" hidden="1" outlineLevel="2" x14ac:dyDescent="0.3">
      <c r="A51" s="27"/>
      <c r="B51" s="11" t="str">
        <f>CONCATENATE("          ", "6111", " - ", "F.I.C.A.")</f>
        <v xml:space="preserve">          6111 - F.I.C.A.</v>
      </c>
      <c r="C51" s="11"/>
      <c r="D51" s="7">
        <v>202.76</v>
      </c>
      <c r="E51" s="2"/>
      <c r="F51" s="6">
        <f t="shared" si="20"/>
        <v>7.6250130211124407E-3</v>
      </c>
      <c r="G51" s="2"/>
      <c r="H51" s="7">
        <v>574.86</v>
      </c>
      <c r="I51" s="2"/>
      <c r="J51" s="6">
        <f t="shared" si="21"/>
        <v>3.0654115504041735E-2</v>
      </c>
      <c r="K51" s="2"/>
      <c r="L51" s="7">
        <f t="shared" si="22"/>
        <v>-372.1</v>
      </c>
      <c r="M51" s="2"/>
      <c r="N51" s="6">
        <f t="shared" si="23"/>
        <v>-0.64728803534773682</v>
      </c>
      <c r="O51" s="11"/>
      <c r="P51" s="7">
        <v>1847.29</v>
      </c>
      <c r="Q51" s="2"/>
      <c r="R51" s="6">
        <f t="shared" si="24"/>
        <v>7.9863467447300659E-3</v>
      </c>
      <c r="S51" s="2"/>
      <c r="T51" s="7">
        <v>5020.8999999999996</v>
      </c>
      <c r="U51" s="2"/>
      <c r="V51" s="6">
        <f t="shared" si="25"/>
        <v>3.0676934469439136E-2</v>
      </c>
      <c r="W51" s="2"/>
      <c r="X51" s="7">
        <f t="shared" si="26"/>
        <v>-3173.6099999999997</v>
      </c>
      <c r="Y51" s="2"/>
      <c r="Z51" s="6">
        <f t="shared" si="27"/>
        <v>-0.6320799059929495</v>
      </c>
    </row>
    <row r="52" spans="1:26" s="24" customFormat="1" hidden="1" outlineLevel="2" x14ac:dyDescent="0.3">
      <c r="A52" s="27"/>
      <c r="B52" s="11" t="str">
        <f>CONCATENATE("          ", "6112", " - ", "COMPENSATION INSURANCE")</f>
        <v xml:space="preserve">          6112 - COMPENSATION INSURANCE</v>
      </c>
      <c r="C52" s="11"/>
      <c r="D52" s="7">
        <v>49.84</v>
      </c>
      <c r="E52" s="2"/>
      <c r="F52" s="6">
        <f t="shared" si="20"/>
        <v>1.8742880695020916E-3</v>
      </c>
      <c r="G52" s="2"/>
      <c r="H52" s="7">
        <v>-19.62</v>
      </c>
      <c r="I52" s="2"/>
      <c r="J52" s="6">
        <f t="shared" si="21"/>
        <v>-1.0462264659035223E-3</v>
      </c>
      <c r="K52" s="2"/>
      <c r="L52" s="7">
        <f t="shared" si="22"/>
        <v>69.460000000000008</v>
      </c>
      <c r="M52" s="2"/>
      <c r="N52" s="6">
        <f t="shared" si="23"/>
        <v>-3.54026503567788</v>
      </c>
      <c r="O52" s="11"/>
      <c r="P52" s="7">
        <v>363.83</v>
      </c>
      <c r="Q52" s="2"/>
      <c r="R52" s="6">
        <f t="shared" si="24"/>
        <v>1.5729379448463096E-3</v>
      </c>
      <c r="S52" s="2"/>
      <c r="T52" s="7">
        <v>1763.05</v>
      </c>
      <c r="U52" s="2"/>
      <c r="V52" s="6">
        <f t="shared" si="25"/>
        <v>1.0771967041037398E-2</v>
      </c>
      <c r="W52" s="2"/>
      <c r="X52" s="7">
        <f t="shared" si="26"/>
        <v>-1399.22</v>
      </c>
      <c r="Y52" s="2"/>
      <c r="Z52" s="6">
        <f t="shared" si="27"/>
        <v>-0.79363602847338421</v>
      </c>
    </row>
    <row r="53" spans="1:26" s="24" customFormat="1" hidden="1" outlineLevel="2" x14ac:dyDescent="0.3">
      <c r="A53" s="27"/>
      <c r="B53" s="11" t="str">
        <f>CONCATENATE("          ", "6113", " - ", "GROUP INSURANCE")</f>
        <v xml:space="preserve">          6113 - GROUP INSURANCE</v>
      </c>
      <c r="C53" s="11"/>
      <c r="D53" s="7">
        <v>487.33</v>
      </c>
      <c r="E53" s="2"/>
      <c r="F53" s="6">
        <f t="shared" si="20"/>
        <v>1.8326581157914409E-2</v>
      </c>
      <c r="G53" s="2"/>
      <c r="H53" s="7">
        <v>2704.67</v>
      </c>
      <c r="I53" s="2"/>
      <c r="J53" s="6">
        <f t="shared" si="21"/>
        <v>0.14422514452269519</v>
      </c>
      <c r="K53" s="2"/>
      <c r="L53" s="7">
        <f t="shared" si="22"/>
        <v>-2217.34</v>
      </c>
      <c r="M53" s="2"/>
      <c r="N53" s="6">
        <f t="shared" si="23"/>
        <v>-0.81981905371080399</v>
      </c>
      <c r="O53" s="11"/>
      <c r="P53" s="7">
        <v>3658.78</v>
      </c>
      <c r="Q53" s="2"/>
      <c r="R53" s="6">
        <f t="shared" si="24"/>
        <v>1.5817920165584975E-2</v>
      </c>
      <c r="S53" s="2"/>
      <c r="T53" s="7">
        <v>18292.04</v>
      </c>
      <c r="U53" s="2"/>
      <c r="V53" s="6">
        <f t="shared" si="25"/>
        <v>0.11176157907792618</v>
      </c>
      <c r="W53" s="2"/>
      <c r="X53" s="7">
        <f t="shared" si="26"/>
        <v>-14633.26</v>
      </c>
      <c r="Y53" s="2"/>
      <c r="Z53" s="6">
        <f t="shared" si="27"/>
        <v>-0.79997966328523229</v>
      </c>
    </row>
    <row r="54" spans="1:26" s="24" customFormat="1" hidden="1" outlineLevel="2" x14ac:dyDescent="0.3">
      <c r="A54" s="27"/>
      <c r="B54" s="11" t="str">
        <f>CONCATENATE("          ", "6114", " - ", "STATE UNEMPLOYMENT INSURANCE")</f>
        <v xml:space="preserve">          6114 - STATE UNEMPLOYMENT INSURANCE</v>
      </c>
      <c r="C54" s="11"/>
      <c r="D54" s="7">
        <v>8.76</v>
      </c>
      <c r="E54" s="2"/>
      <c r="F54" s="6">
        <f t="shared" si="20"/>
        <v>3.2942944399755861E-4</v>
      </c>
      <c r="G54" s="2"/>
      <c r="H54" s="7">
        <v>47.07</v>
      </c>
      <c r="I54" s="2"/>
      <c r="J54" s="6">
        <f t="shared" si="21"/>
        <v>2.5099836773740465E-3</v>
      </c>
      <c r="K54" s="2"/>
      <c r="L54" s="7">
        <f t="shared" si="22"/>
        <v>-38.31</v>
      </c>
      <c r="M54" s="2"/>
      <c r="N54" s="6">
        <f t="shared" si="23"/>
        <v>-0.81389420012746982</v>
      </c>
      <c r="O54" s="11"/>
      <c r="P54" s="7">
        <v>63.92</v>
      </c>
      <c r="Q54" s="2"/>
      <c r="R54" s="6">
        <f t="shared" si="24"/>
        <v>2.7634387882960758E-4</v>
      </c>
      <c r="S54" s="2"/>
      <c r="T54" s="7">
        <v>221.44</v>
      </c>
      <c r="U54" s="2"/>
      <c r="V54" s="6">
        <f t="shared" si="25"/>
        <v>1.3529646814142092E-3</v>
      </c>
      <c r="W54" s="2"/>
      <c r="X54" s="7">
        <f t="shared" si="26"/>
        <v>-157.51999999999998</v>
      </c>
      <c r="Y54" s="2"/>
      <c r="Z54" s="6">
        <f t="shared" si="27"/>
        <v>-0.71134393063583812</v>
      </c>
    </row>
    <row r="55" spans="1:26" s="24" customFormat="1" hidden="1" outlineLevel="2" x14ac:dyDescent="0.3">
      <c r="A55" s="27"/>
      <c r="B55" s="11" t="str">
        <f>CONCATENATE("          ", "6115", " - ", "P.E.R.S.")</f>
        <v xml:space="preserve">          6115 - P.E.R.S.</v>
      </c>
      <c r="C55" s="11"/>
      <c r="D55" s="7">
        <v>92.45</v>
      </c>
      <c r="E55" s="2"/>
      <c r="F55" s="6">
        <f t="shared" si="20"/>
        <v>3.4766840294034583E-3</v>
      </c>
      <c r="G55" s="2"/>
      <c r="H55" s="7">
        <v>543.17999999999995</v>
      </c>
      <c r="I55" s="2"/>
      <c r="J55" s="6">
        <f t="shared" si="21"/>
        <v>2.8964795705885584E-2</v>
      </c>
      <c r="K55" s="2"/>
      <c r="L55" s="7">
        <f t="shared" si="22"/>
        <v>-450.72999999999996</v>
      </c>
      <c r="M55" s="2"/>
      <c r="N55" s="6">
        <f t="shared" si="23"/>
        <v>-0.82979859346809526</v>
      </c>
      <c r="O55" s="11"/>
      <c r="P55" s="7">
        <v>677.36</v>
      </c>
      <c r="Q55" s="2"/>
      <c r="R55" s="6">
        <f t="shared" si="24"/>
        <v>2.9284150463708227E-3</v>
      </c>
      <c r="S55" s="2"/>
      <c r="T55" s="7">
        <v>2788.32</v>
      </c>
      <c r="U55" s="2"/>
      <c r="V55" s="6">
        <f t="shared" si="25"/>
        <v>1.7036210623558833E-2</v>
      </c>
      <c r="W55" s="2"/>
      <c r="X55" s="7">
        <f t="shared" si="26"/>
        <v>-2110.96</v>
      </c>
      <c r="Y55" s="2"/>
      <c r="Z55" s="6">
        <f t="shared" si="27"/>
        <v>-0.75707235898318703</v>
      </c>
    </row>
    <row r="56" spans="1:26" s="24" customFormat="1" hidden="1" outlineLevel="2" x14ac:dyDescent="0.3">
      <c r="A56" s="27"/>
      <c r="B56" s="11" t="str">
        <f>CONCATENATE("          ", "6118", " - ", "VACATION")</f>
        <v xml:space="preserve">          6118 - VACATION</v>
      </c>
      <c r="C56" s="11"/>
      <c r="D56" s="7">
        <v>155.76</v>
      </c>
      <c r="E56" s="2"/>
      <c r="F56" s="6">
        <f t="shared" si="20"/>
        <v>5.8575262782031654E-3</v>
      </c>
      <c r="G56" s="2"/>
      <c r="H56" s="7">
        <v>438.81</v>
      </c>
      <c r="I56" s="2"/>
      <c r="J56" s="6">
        <f t="shared" si="21"/>
        <v>2.3399318832982907E-2</v>
      </c>
      <c r="K56" s="2"/>
      <c r="L56" s="7">
        <f t="shared" si="22"/>
        <v>-283.05</v>
      </c>
      <c r="M56" s="2"/>
      <c r="N56" s="6">
        <f t="shared" si="23"/>
        <v>-0.64503999453066252</v>
      </c>
      <c r="O56" s="11"/>
      <c r="P56" s="7">
        <v>719.28</v>
      </c>
      <c r="Q56" s="2"/>
      <c r="R56" s="6">
        <f t="shared" si="24"/>
        <v>3.1096468267296641E-3</v>
      </c>
      <c r="S56" s="2"/>
      <c r="T56" s="7">
        <v>3584.5</v>
      </c>
      <c r="U56" s="2"/>
      <c r="V56" s="6">
        <f t="shared" si="25"/>
        <v>2.1900749189528688E-2</v>
      </c>
      <c r="W56" s="2"/>
      <c r="X56" s="7">
        <f t="shared" si="26"/>
        <v>-2865.2200000000003</v>
      </c>
      <c r="Y56" s="2"/>
      <c r="Z56" s="6">
        <f t="shared" si="27"/>
        <v>-0.79933603012972532</v>
      </c>
    </row>
    <row r="57" spans="1:26" s="24" customFormat="1" hidden="1" outlineLevel="2" x14ac:dyDescent="0.3">
      <c r="A57" s="27"/>
      <c r="B57" s="11" t="str">
        <f>CONCATENATE("          ", "6119", " - ", "SICK LEAVE")</f>
        <v xml:space="preserve">          6119 - SICK LEAVE</v>
      </c>
      <c r="C57" s="11"/>
      <c r="D57" s="7">
        <v>124.91</v>
      </c>
      <c r="E57" s="2"/>
      <c r="F57" s="6">
        <f t="shared" si="20"/>
        <v>4.6973780650382468E-3</v>
      </c>
      <c r="G57" s="2"/>
      <c r="H57" s="7">
        <v>331.39</v>
      </c>
      <c r="I57" s="2"/>
      <c r="J57" s="6">
        <f t="shared" si="21"/>
        <v>1.7671202269916832E-2</v>
      </c>
      <c r="K57" s="2"/>
      <c r="L57" s="7">
        <f t="shared" si="22"/>
        <v>-206.48</v>
      </c>
      <c r="M57" s="2"/>
      <c r="N57" s="6">
        <f t="shared" si="23"/>
        <v>-0.62307251274932862</v>
      </c>
      <c r="O57" s="11"/>
      <c r="P57" s="7">
        <v>480.36</v>
      </c>
      <c r="Q57" s="2"/>
      <c r="R57" s="6">
        <f t="shared" si="24"/>
        <v>2.0767294373371446E-3</v>
      </c>
      <c r="S57" s="2"/>
      <c r="T57" s="7">
        <v>3011.59</v>
      </c>
      <c r="U57" s="2"/>
      <c r="V57" s="6">
        <f t="shared" si="25"/>
        <v>1.8400356326319627E-2</v>
      </c>
      <c r="W57" s="2"/>
      <c r="X57" s="7">
        <f t="shared" si="26"/>
        <v>-2531.23</v>
      </c>
      <c r="Y57" s="2"/>
      <c r="Z57" s="6">
        <f t="shared" si="27"/>
        <v>-0.84049621628442117</v>
      </c>
    </row>
    <row r="58" spans="1:26" s="24" customFormat="1" hidden="1" outlineLevel="2" x14ac:dyDescent="0.3">
      <c r="A58" s="27"/>
      <c r="B58" s="11" t="str">
        <f>CONCATENATE("          ", "6156", " - ", "EMPLOYEE MEALS")</f>
        <v xml:space="preserve">          6156 - EMPLOYEE MEALS</v>
      </c>
      <c r="C58" s="11"/>
      <c r="D58" s="7">
        <v>154.84</v>
      </c>
      <c r="E58" s="2"/>
      <c r="F58" s="6">
        <f t="shared" si="20"/>
        <v>5.8229286653632391E-3</v>
      </c>
      <c r="G58" s="2"/>
      <c r="H58" s="7">
        <v>63.58</v>
      </c>
      <c r="I58" s="2"/>
      <c r="J58" s="6">
        <f t="shared" si="21"/>
        <v>3.3903709837994874E-3</v>
      </c>
      <c r="K58" s="2"/>
      <c r="L58" s="7">
        <f t="shared" si="22"/>
        <v>91.26</v>
      </c>
      <c r="M58" s="2"/>
      <c r="N58" s="6">
        <f t="shared" si="23"/>
        <v>1.4353570305127399</v>
      </c>
      <c r="O58" s="11"/>
      <c r="P58" s="7">
        <v>1057.3</v>
      </c>
      <c r="Q58" s="2"/>
      <c r="R58" s="6">
        <f t="shared" si="24"/>
        <v>4.5710009869609526E-3</v>
      </c>
      <c r="S58" s="2"/>
      <c r="T58" s="7">
        <v>1129.17</v>
      </c>
      <c r="U58" s="2"/>
      <c r="V58" s="6">
        <f t="shared" si="25"/>
        <v>6.8990567617073818E-3</v>
      </c>
      <c r="W58" s="2"/>
      <c r="X58" s="7">
        <f t="shared" si="26"/>
        <v>-71.870000000000118</v>
      </c>
      <c r="Y58" s="2"/>
      <c r="Z58" s="6">
        <f t="shared" si="27"/>
        <v>-6.3648520594773259E-2</v>
      </c>
    </row>
    <row r="59" spans="1:26" s="29" customFormat="1" outlineLevel="1" collapsed="1" x14ac:dyDescent="0.3">
      <c r="A59" s="28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8859.5999999999985</v>
      </c>
      <c r="E59" s="1"/>
      <c r="F59" s="5">
        <f t="shared" ref="F59:F64" si="28">IF(D$12=0,0,D59/D$12)</f>
        <v>0.33317501164848967</v>
      </c>
      <c r="G59" s="1"/>
      <c r="H59" s="1">
        <f>SUM(OSRRefH22_1x_0)</f>
        <v>10135.630000000001</v>
      </c>
      <c r="I59" s="1"/>
      <c r="J59" s="5">
        <f t="shared" ref="J59:J64" si="29">IF(H$12=0,0,H59/H$12)</f>
        <v>0.54047728616746782</v>
      </c>
      <c r="K59" s="1"/>
      <c r="L59" s="1">
        <f t="shared" ref="L59:L64" si="30">+D59-H59</f>
        <v>-1276.0300000000025</v>
      </c>
      <c r="M59" s="1"/>
      <c r="N59" s="5">
        <f t="shared" ref="N59:N64" si="31">IF(H59=0,0,L59/H59)</f>
        <v>-0.12589547961004913</v>
      </c>
      <c r="O59" s="14"/>
      <c r="P59" s="1">
        <f>SUM(OSRRefP22_1x_0)</f>
        <v>49552.890000000007</v>
      </c>
      <c r="Q59" s="1"/>
      <c r="R59" s="5">
        <f t="shared" ref="R59:R64" si="32">IF(P$12=0,0,P59/P$12)</f>
        <v>0.21423087969050178</v>
      </c>
      <c r="S59" s="1"/>
      <c r="T59" s="1">
        <f>SUM(OSRRefT22_1x_0)</f>
        <v>57976.63</v>
      </c>
      <c r="U59" s="1"/>
      <c r="V59" s="5">
        <f t="shared" ref="V59:V64" si="33">IF(T$12=0,0,T59/T$12)</f>
        <v>0.35422838122028305</v>
      </c>
      <c r="W59" s="1"/>
      <c r="X59" s="1">
        <f t="shared" ref="X59:X64" si="34">+P59-T59</f>
        <v>-8423.7399999999907</v>
      </c>
      <c r="Y59" s="1"/>
      <c r="Z59" s="5">
        <f t="shared" ref="Z59:Z64" si="35">IF(T59=0,0,X59/T59)</f>
        <v>-0.14529544059390812</v>
      </c>
    </row>
    <row r="60" spans="1:26" s="24" customFormat="1" hidden="1" outlineLevel="2" x14ac:dyDescent="0.3">
      <c r="A60" s="27"/>
      <c r="B60" s="11" t="str">
        <f>CONCATENATE("          ", "6002", " - ", "STAFF SALARIES")</f>
        <v xml:space="preserve">          6002 - STAFF SALARIES</v>
      </c>
      <c r="C60" s="11"/>
      <c r="D60" s="7">
        <v>1217.5</v>
      </c>
      <c r="E60" s="2"/>
      <c r="F60" s="6">
        <f t="shared" si="28"/>
        <v>4.5785427861532835E-2</v>
      </c>
      <c r="G60" s="2"/>
      <c r="H60" s="7">
        <v>5462.16</v>
      </c>
      <c r="I60" s="2"/>
      <c r="J60" s="6">
        <f t="shared" si="29"/>
        <v>0.29126688853208887</v>
      </c>
      <c r="K60" s="2"/>
      <c r="L60" s="7">
        <f t="shared" si="30"/>
        <v>-4244.66</v>
      </c>
      <c r="M60" s="2"/>
      <c r="N60" s="6">
        <f t="shared" si="31"/>
        <v>-0.7771028311144309</v>
      </c>
      <c r="O60" s="11"/>
      <c r="P60" s="7">
        <v>8572.3700000000008</v>
      </c>
      <c r="Q60" s="2"/>
      <c r="R60" s="6">
        <f t="shared" si="32"/>
        <v>3.7060731798538221E-2</v>
      </c>
      <c r="S60" s="2"/>
      <c r="T60" s="7">
        <v>33569.879999999997</v>
      </c>
      <c r="U60" s="2"/>
      <c r="V60" s="6">
        <f t="shared" si="33"/>
        <v>0.20510685512695642</v>
      </c>
      <c r="W60" s="2"/>
      <c r="X60" s="7">
        <f t="shared" si="34"/>
        <v>-24997.509999999995</v>
      </c>
      <c r="Y60" s="2"/>
      <c r="Z60" s="6">
        <f t="shared" si="35"/>
        <v>-0.74464102939897303</v>
      </c>
    </row>
    <row r="61" spans="1:26" s="24" customFormat="1" hidden="1" outlineLevel="2" x14ac:dyDescent="0.3">
      <c r="A61" s="27"/>
      <c r="B61" s="11" t="str">
        <f>CONCATENATE("          ", "6004", " - ", "STAFF HOURLY")</f>
        <v xml:space="preserve">          6004 - STAFF HOURLY</v>
      </c>
      <c r="C61" s="11"/>
      <c r="D61" s="7"/>
      <c r="E61" s="2"/>
      <c r="F61" s="6">
        <f t="shared" si="28"/>
        <v>0</v>
      </c>
      <c r="G61" s="2"/>
      <c r="H61" s="7">
        <v>365</v>
      </c>
      <c r="I61" s="2"/>
      <c r="J61" s="6">
        <f t="shared" si="29"/>
        <v>1.9463438331028829E-2</v>
      </c>
      <c r="K61" s="2"/>
      <c r="L61" s="7">
        <f t="shared" si="30"/>
        <v>-365</v>
      </c>
      <c r="M61" s="2"/>
      <c r="N61" s="6">
        <f t="shared" si="31"/>
        <v>-1</v>
      </c>
      <c r="O61" s="11"/>
      <c r="P61" s="7">
        <v>4272.3900000000003</v>
      </c>
      <c r="Q61" s="2"/>
      <c r="R61" s="6">
        <f t="shared" si="32"/>
        <v>1.847072629025074E-2</v>
      </c>
      <c r="S61" s="2"/>
      <c r="T61" s="7">
        <v>3456.21</v>
      </c>
      <c r="U61" s="2"/>
      <c r="V61" s="6">
        <f t="shared" si="33"/>
        <v>2.11169168241989E-2</v>
      </c>
      <c r="W61" s="2"/>
      <c r="X61" s="7">
        <f t="shared" si="34"/>
        <v>816.18000000000029</v>
      </c>
      <c r="Y61" s="2"/>
      <c r="Z61" s="6">
        <f t="shared" si="35"/>
        <v>0.23614884512225828</v>
      </c>
    </row>
    <row r="62" spans="1:26" s="24" customFormat="1" hidden="1" outlineLevel="2" x14ac:dyDescent="0.3">
      <c r="A62" s="27"/>
      <c r="B62" s="11" t="str">
        <f>CONCATENATE("          ", "6005", " - ", "TEMPORARY WAGES-HOURLY")</f>
        <v xml:space="preserve">          6005 - TEMPORARY WAGES-HOURLY</v>
      </c>
      <c r="C62" s="11"/>
      <c r="D62" s="7">
        <v>1432.43</v>
      </c>
      <c r="E62" s="2"/>
      <c r="F62" s="6">
        <f t="shared" si="28"/>
        <v>5.3868107130756036E-2</v>
      </c>
      <c r="G62" s="2"/>
      <c r="H62" s="7">
        <v>1980.01</v>
      </c>
      <c r="I62" s="2"/>
      <c r="J62" s="6">
        <f t="shared" si="29"/>
        <v>0.10558302062964492</v>
      </c>
      <c r="K62" s="2"/>
      <c r="L62" s="7">
        <f t="shared" si="30"/>
        <v>-547.57999999999993</v>
      </c>
      <c r="M62" s="2"/>
      <c r="N62" s="6">
        <f t="shared" si="31"/>
        <v>-0.27655415881737966</v>
      </c>
      <c r="O62" s="11"/>
      <c r="P62" s="7">
        <v>4866.08</v>
      </c>
      <c r="Q62" s="2"/>
      <c r="R62" s="6">
        <f t="shared" si="32"/>
        <v>2.1037412733028425E-2</v>
      </c>
      <c r="S62" s="2"/>
      <c r="T62" s="7">
        <v>9890.65</v>
      </c>
      <c r="U62" s="2"/>
      <c r="V62" s="6">
        <f t="shared" si="33"/>
        <v>6.0430365454432117E-2</v>
      </c>
      <c r="W62" s="2"/>
      <c r="X62" s="7">
        <f t="shared" si="34"/>
        <v>-5024.57</v>
      </c>
      <c r="Y62" s="2"/>
      <c r="Z62" s="6">
        <f t="shared" si="35"/>
        <v>-0.50801211244963673</v>
      </c>
    </row>
    <row r="63" spans="1:26" s="24" customFormat="1" hidden="1" outlineLevel="2" x14ac:dyDescent="0.3">
      <c r="A63" s="27"/>
      <c r="B63" s="11" t="str">
        <f>CONCATENATE("          ", "6007", " - ", "STUDENT HOURLY")</f>
        <v xml:space="preserve">          6007 - STUDENT HOURLY</v>
      </c>
      <c r="C63" s="11"/>
      <c r="D63" s="7">
        <v>6100.62</v>
      </c>
      <c r="E63" s="2"/>
      <c r="F63" s="6">
        <f t="shared" si="28"/>
        <v>0.22942053135164223</v>
      </c>
      <c r="G63" s="2"/>
      <c r="H63" s="7">
        <v>2126.86</v>
      </c>
      <c r="I63" s="2"/>
      <c r="J63" s="6">
        <f t="shared" si="29"/>
        <v>0.11341372177734789</v>
      </c>
      <c r="K63" s="2"/>
      <c r="L63" s="7">
        <f t="shared" si="30"/>
        <v>3973.7599999999998</v>
      </c>
      <c r="M63" s="2"/>
      <c r="N63" s="6">
        <f t="shared" si="31"/>
        <v>1.8683693331954145</v>
      </c>
      <c r="O63" s="11"/>
      <c r="P63" s="7">
        <v>30844.18</v>
      </c>
      <c r="Q63" s="2"/>
      <c r="R63" s="6">
        <f t="shared" si="32"/>
        <v>0.1333479402459106</v>
      </c>
      <c r="S63" s="2"/>
      <c r="T63" s="7">
        <v>9140.86</v>
      </c>
      <c r="U63" s="2"/>
      <c r="V63" s="6">
        <f t="shared" si="33"/>
        <v>5.5849262724674352E-2</v>
      </c>
      <c r="W63" s="2"/>
      <c r="X63" s="7">
        <f t="shared" si="34"/>
        <v>21703.32</v>
      </c>
      <c r="Y63" s="2"/>
      <c r="Z63" s="6">
        <f t="shared" si="35"/>
        <v>2.374319265364528</v>
      </c>
    </row>
    <row r="64" spans="1:26" s="24" customFormat="1" hidden="1" outlineLevel="2" x14ac:dyDescent="0.3">
      <c r="A64" s="27"/>
      <c r="B64" s="11" t="str">
        <f>CONCATENATE("          ", "6008", " - ", "STUDENT HOURLY-FICA EXEMPT")</f>
        <v xml:space="preserve">          6008 - STUDENT HOURLY-FICA EXEMPT</v>
      </c>
      <c r="C64" s="11"/>
      <c r="D64" s="7">
        <v>109.05</v>
      </c>
      <c r="E64" s="2"/>
      <c r="F64" s="6">
        <f t="shared" si="28"/>
        <v>4.1009453045586491E-3</v>
      </c>
      <c r="G64" s="2"/>
      <c r="H64" s="7">
        <v>201.6</v>
      </c>
      <c r="I64" s="2"/>
      <c r="J64" s="6">
        <f t="shared" si="29"/>
        <v>1.0750216897357293E-2</v>
      </c>
      <c r="K64" s="2"/>
      <c r="L64" s="7">
        <f t="shared" si="30"/>
        <v>-92.55</v>
      </c>
      <c r="M64" s="2"/>
      <c r="N64" s="6">
        <f t="shared" si="31"/>
        <v>-0.45907738095238093</v>
      </c>
      <c r="O64" s="11"/>
      <c r="P64" s="7">
        <v>997.87</v>
      </c>
      <c r="Q64" s="2"/>
      <c r="R64" s="6">
        <f t="shared" si="32"/>
        <v>4.3140686227737873E-3</v>
      </c>
      <c r="S64" s="2"/>
      <c r="T64" s="7">
        <v>1919.03</v>
      </c>
      <c r="U64" s="2"/>
      <c r="V64" s="6">
        <f t="shared" si="33"/>
        <v>1.1724981090021269E-2</v>
      </c>
      <c r="W64" s="2"/>
      <c r="X64" s="7">
        <f t="shared" si="34"/>
        <v>-921.16</v>
      </c>
      <c r="Y64" s="2"/>
      <c r="Z64" s="6">
        <f t="shared" si="35"/>
        <v>-0.48001334007284929</v>
      </c>
    </row>
    <row r="65" spans="1:26" s="29" customFormat="1" outlineLevel="1" collapsed="1" x14ac:dyDescent="0.3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295</v>
      </c>
      <c r="E65" s="1"/>
      <c r="F65" s="5">
        <f t="shared" ref="F65:F86" si="36">IF(D$12=0,0,D65/D$12)</f>
        <v>1.1093799769324177E-2</v>
      </c>
      <c r="G65" s="1"/>
      <c r="H65" s="1">
        <f>SUM(OSRRefH22_2x_0)</f>
        <v>0</v>
      </c>
      <c r="I65" s="1"/>
      <c r="J65" s="5">
        <f t="shared" ref="J65:J86" si="37">IF(H$12=0,0,H65/H$12)</f>
        <v>0</v>
      </c>
      <c r="K65" s="1"/>
      <c r="L65" s="1">
        <f t="shared" ref="L65:L86" si="38">+D65-H65</f>
        <v>295</v>
      </c>
      <c r="M65" s="1"/>
      <c r="N65" s="5">
        <f t="shared" ref="N65:N86" si="39">IF(H65=0,0,L65/H65)</f>
        <v>0</v>
      </c>
      <c r="O65" s="14"/>
      <c r="P65" s="1">
        <f>SUM(OSRRefP22_2x_0)</f>
        <v>1419.35</v>
      </c>
      <c r="Q65" s="1"/>
      <c r="R65" s="5">
        <f t="shared" ref="R65:R86" si="40">IF(P$12=0,0,P65/P$12)</f>
        <v>6.1362434983855364E-3</v>
      </c>
      <c r="S65" s="1"/>
      <c r="T65" s="1">
        <f>SUM(OSRRefT22_2x_0)</f>
        <v>1024.2</v>
      </c>
      <c r="U65" s="1"/>
      <c r="V65" s="5">
        <f t="shared" ref="V65:V86" si="41">IF(T$12=0,0,T65/T$12)</f>
        <v>6.2577060454499329E-3</v>
      </c>
      <c r="W65" s="1"/>
      <c r="X65" s="1">
        <f t="shared" ref="X65:X86" si="42">+P65-T65</f>
        <v>395.14999999999986</v>
      </c>
      <c r="Y65" s="1"/>
      <c r="Z65" s="5">
        <f t="shared" ref="Z65:Z86" si="43">IF(T65=0,0,X65/T65)</f>
        <v>0.38581331771138433</v>
      </c>
    </row>
    <row r="66" spans="1:26" s="24" customFormat="1" hidden="1" outlineLevel="2" x14ac:dyDescent="0.3">
      <c r="A66" s="27"/>
      <c r="B66" s="11" t="str">
        <f>CONCATENATE("          ", "6362", " - ", "ADVERTISING EXPENSE")</f>
        <v xml:space="preserve">          6362 - ADVERTISING EXPENSE</v>
      </c>
      <c r="C66" s="11"/>
      <c r="D66" s="7">
        <v>295</v>
      </c>
      <c r="E66" s="2"/>
      <c r="F66" s="6">
        <f t="shared" si="36"/>
        <v>1.1093799769324177E-2</v>
      </c>
      <c r="G66" s="2"/>
      <c r="H66" s="7"/>
      <c r="I66" s="2"/>
      <c r="J66" s="6">
        <f t="shared" si="37"/>
        <v>0</v>
      </c>
      <c r="K66" s="2"/>
      <c r="L66" s="7">
        <f t="shared" si="38"/>
        <v>295</v>
      </c>
      <c r="M66" s="2"/>
      <c r="N66" s="6">
        <f t="shared" si="39"/>
        <v>0</v>
      </c>
      <c r="O66" s="11"/>
      <c r="P66" s="7">
        <v>1419.35</v>
      </c>
      <c r="Q66" s="2"/>
      <c r="R66" s="6">
        <f t="shared" si="40"/>
        <v>6.1362434983855364E-3</v>
      </c>
      <c r="S66" s="2"/>
      <c r="T66" s="7">
        <v>1024.2</v>
      </c>
      <c r="U66" s="2"/>
      <c r="V66" s="6">
        <f t="shared" si="41"/>
        <v>6.2577060454499329E-3</v>
      </c>
      <c r="W66" s="2"/>
      <c r="X66" s="7">
        <f t="shared" si="42"/>
        <v>395.14999999999986</v>
      </c>
      <c r="Y66" s="2"/>
      <c r="Z66" s="6">
        <f t="shared" si="43"/>
        <v>0.38581331771138433</v>
      </c>
    </row>
    <row r="67" spans="1:26" s="29" customFormat="1" outlineLevel="1" collapsed="1" x14ac:dyDescent="0.3">
      <c r="A67" s="28"/>
      <c r="B67" s="14" t="str">
        <f>CONCATENATE("     ","Bad Debts/Over/Short                              ")</f>
        <v xml:space="preserve">     Bad Debts/Over/Short                              </v>
      </c>
      <c r="C67" s="14"/>
      <c r="D67" s="1">
        <f>SUM(OSRRefD22_3x_0)</f>
        <v>-3.35</v>
      </c>
      <c r="E67" s="1"/>
      <c r="F67" s="5">
        <f t="shared" si="36"/>
        <v>-1.2598043805842711E-4</v>
      </c>
      <c r="G67" s="1"/>
      <c r="H67" s="1">
        <f>SUM(OSRRefH22_3x_0)</f>
        <v>-0.41</v>
      </c>
      <c r="I67" s="1"/>
      <c r="J67" s="5">
        <f t="shared" si="37"/>
        <v>-2.1863040317046082E-5</v>
      </c>
      <c r="K67" s="1"/>
      <c r="L67" s="1">
        <f t="shared" si="38"/>
        <v>-2.94</v>
      </c>
      <c r="M67" s="1"/>
      <c r="N67" s="5">
        <f t="shared" si="39"/>
        <v>7.1707317073170733</v>
      </c>
      <c r="O67" s="14"/>
      <c r="P67" s="1">
        <f>SUM(OSRRefP22_3x_0)</f>
        <v>-13.38</v>
      </c>
      <c r="Q67" s="1"/>
      <c r="R67" s="5">
        <f t="shared" si="40"/>
        <v>-5.7845448979038632E-5</v>
      </c>
      <c r="S67" s="1"/>
      <c r="T67" s="1">
        <f>SUM(OSRRefT22_3x_0)</f>
        <v>-1.8</v>
      </c>
      <c r="U67" s="1"/>
      <c r="V67" s="5">
        <f t="shared" si="41"/>
        <v>-1.099772591467475E-5</v>
      </c>
      <c r="W67" s="1"/>
      <c r="X67" s="1">
        <f t="shared" si="42"/>
        <v>-11.58</v>
      </c>
      <c r="Y67" s="1"/>
      <c r="Z67" s="5">
        <f t="shared" si="43"/>
        <v>6.4333333333333336</v>
      </c>
    </row>
    <row r="68" spans="1:26" s="24" customFormat="1" hidden="1" outlineLevel="2" x14ac:dyDescent="0.3">
      <c r="A68" s="27"/>
      <c r="B68" s="11" t="str">
        <f>CONCATENATE("          ", "6272", " - ", "CASH (OVER/SHORT)")</f>
        <v xml:space="preserve">          6272 - CASH (OVER/SHORT)</v>
      </c>
      <c r="C68" s="11"/>
      <c r="D68" s="7">
        <v>-3.35</v>
      </c>
      <c r="E68" s="2"/>
      <c r="F68" s="6">
        <f t="shared" si="36"/>
        <v>-1.2598043805842711E-4</v>
      </c>
      <c r="G68" s="2"/>
      <c r="H68" s="7">
        <v>-0.41</v>
      </c>
      <c r="I68" s="2"/>
      <c r="J68" s="6">
        <f t="shared" si="37"/>
        <v>-2.1863040317046082E-5</v>
      </c>
      <c r="K68" s="2"/>
      <c r="L68" s="7">
        <f t="shared" si="38"/>
        <v>-2.94</v>
      </c>
      <c r="M68" s="2"/>
      <c r="N68" s="6">
        <f t="shared" si="39"/>
        <v>7.1707317073170733</v>
      </c>
      <c r="O68" s="11"/>
      <c r="P68" s="7">
        <v>-13.38</v>
      </c>
      <c r="Q68" s="2"/>
      <c r="R68" s="6">
        <f t="shared" si="40"/>
        <v>-5.7845448979038632E-5</v>
      </c>
      <c r="S68" s="2"/>
      <c r="T68" s="7">
        <v>-1.8</v>
      </c>
      <c r="U68" s="2"/>
      <c r="V68" s="6">
        <f t="shared" si="41"/>
        <v>-1.099772591467475E-5</v>
      </c>
      <c r="W68" s="2"/>
      <c r="X68" s="7">
        <f t="shared" si="42"/>
        <v>-11.58</v>
      </c>
      <c r="Y68" s="2"/>
      <c r="Z68" s="6">
        <f t="shared" si="43"/>
        <v>6.4333333333333336</v>
      </c>
    </row>
    <row r="69" spans="1:26" s="29" customFormat="1" outlineLevel="1" collapsed="1" x14ac:dyDescent="0.3">
      <c r="A69" s="28"/>
      <c r="B69" s="14" t="str">
        <f>CONCATENATE("     ","Bank/card Fees                                    ")</f>
        <v xml:space="preserve">     Bank/card Fees                                    </v>
      </c>
      <c r="C69" s="14"/>
      <c r="D69" s="1">
        <f>SUM(OSRRefD22_4x_0)</f>
        <v>339.5</v>
      </c>
      <c r="E69" s="1"/>
      <c r="F69" s="5">
        <f t="shared" si="36"/>
        <v>1.2767271259951044E-2</v>
      </c>
      <c r="G69" s="1"/>
      <c r="H69" s="1">
        <f>SUM(OSRRefH22_4x_0)</f>
        <v>244.74</v>
      </c>
      <c r="I69" s="1"/>
      <c r="J69" s="5">
        <f t="shared" si="37"/>
        <v>1.3050635334619167E-2</v>
      </c>
      <c r="K69" s="1"/>
      <c r="L69" s="1">
        <f t="shared" si="38"/>
        <v>94.759999999999991</v>
      </c>
      <c r="M69" s="1"/>
      <c r="N69" s="5">
        <f t="shared" si="39"/>
        <v>0.38718640189588949</v>
      </c>
      <c r="O69" s="14"/>
      <c r="P69" s="1">
        <f>SUM(OSRRefP22_4x_0)</f>
        <v>3814.08</v>
      </c>
      <c r="Q69" s="1"/>
      <c r="R69" s="5">
        <f t="shared" si="40"/>
        <v>1.6489325115244518E-2</v>
      </c>
      <c r="S69" s="1"/>
      <c r="T69" s="1">
        <f>SUM(OSRRefT22_4x_0)</f>
        <v>2559.0100000000002</v>
      </c>
      <c r="U69" s="1"/>
      <c r="V69" s="5">
        <f t="shared" si="41"/>
        <v>1.5635161440506574E-2</v>
      </c>
      <c r="W69" s="1"/>
      <c r="X69" s="1">
        <f t="shared" si="42"/>
        <v>1255.0699999999997</v>
      </c>
      <c r="Y69" s="1"/>
      <c r="Z69" s="5">
        <f t="shared" si="43"/>
        <v>0.49045138549673489</v>
      </c>
    </row>
    <row r="70" spans="1:26" s="24" customFormat="1" hidden="1" outlineLevel="2" x14ac:dyDescent="0.3">
      <c r="A70" s="27"/>
      <c r="B70" s="11" t="str">
        <f>CONCATENATE("          ", "6381", " - ", "BANK/CREDIT CARD FEES")</f>
        <v xml:space="preserve">          6381 - BANK/CREDIT CARD FEES</v>
      </c>
      <c r="C70" s="11"/>
      <c r="D70" s="7">
        <v>339.5</v>
      </c>
      <c r="E70" s="2"/>
      <c r="F70" s="6">
        <f t="shared" si="36"/>
        <v>1.2767271259951044E-2</v>
      </c>
      <c r="G70" s="2"/>
      <c r="H70" s="7">
        <v>244.74</v>
      </c>
      <c r="I70" s="2"/>
      <c r="J70" s="6">
        <f t="shared" si="37"/>
        <v>1.3050635334619167E-2</v>
      </c>
      <c r="K70" s="2"/>
      <c r="L70" s="7">
        <f t="shared" si="38"/>
        <v>94.759999999999991</v>
      </c>
      <c r="M70" s="2"/>
      <c r="N70" s="6">
        <f t="shared" si="39"/>
        <v>0.38718640189588949</v>
      </c>
      <c r="O70" s="11"/>
      <c r="P70" s="7">
        <v>3814.08</v>
      </c>
      <c r="Q70" s="2"/>
      <c r="R70" s="6">
        <f t="shared" si="40"/>
        <v>1.6489325115244518E-2</v>
      </c>
      <c r="S70" s="2"/>
      <c r="T70" s="7">
        <v>2559.0100000000002</v>
      </c>
      <c r="U70" s="2"/>
      <c r="V70" s="6">
        <f t="shared" si="41"/>
        <v>1.5635161440506574E-2</v>
      </c>
      <c r="W70" s="2"/>
      <c r="X70" s="7">
        <f t="shared" si="42"/>
        <v>1255.0699999999997</v>
      </c>
      <c r="Y70" s="2"/>
      <c r="Z70" s="6">
        <f t="shared" si="43"/>
        <v>0.49045138549673489</v>
      </c>
    </row>
    <row r="71" spans="1:26" s="29" customFormat="1" outlineLevel="1" collapsed="1" x14ac:dyDescent="0.3">
      <c r="A71" s="28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SUM(OSRRefD22_5x_0)</f>
        <v>0</v>
      </c>
      <c r="E71" s="1"/>
      <c r="F71" s="5">
        <f t="shared" si="36"/>
        <v>0</v>
      </c>
      <c r="G71" s="1"/>
      <c r="H71" s="1">
        <f>SUM(OSRRefH22_5x_0)</f>
        <v>0</v>
      </c>
      <c r="I71" s="1"/>
      <c r="J71" s="5">
        <f t="shared" si="37"/>
        <v>0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SUM(OSRRefP22_5x_0)</f>
        <v>0</v>
      </c>
      <c r="Q71" s="1"/>
      <c r="R71" s="5">
        <f t="shared" si="40"/>
        <v>0</v>
      </c>
      <c r="S71" s="1"/>
      <c r="T71" s="1">
        <f>SUM(OSRRefT22_5x_0)</f>
        <v>0</v>
      </c>
      <c r="U71" s="1"/>
      <c r="V71" s="5">
        <f t="shared" si="41"/>
        <v>0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3">
      <c r="A72" s="27"/>
      <c r="B72" s="11" t="str">
        <f>CONCATENATE("          ", "6382", " - ", "DISCOUNTS/MARK DOWNS")</f>
        <v xml:space="preserve">          6382 - DISCOUNTS/MARK DOWNS</v>
      </c>
      <c r="C72" s="11"/>
      <c r="D72" s="7"/>
      <c r="E72" s="2"/>
      <c r="F72" s="6">
        <f t="shared" si="36"/>
        <v>0</v>
      </c>
      <c r="G72" s="2"/>
      <c r="H72" s="7">
        <v>0</v>
      </c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/>
      <c r="Q72" s="2"/>
      <c r="R72" s="6">
        <f t="shared" si="40"/>
        <v>0</v>
      </c>
      <c r="S72" s="2"/>
      <c r="T72" s="7">
        <v>0</v>
      </c>
      <c r="U72" s="2"/>
      <c r="V72" s="6">
        <f t="shared" si="41"/>
        <v>0</v>
      </c>
      <c r="W72" s="2"/>
      <c r="X72" s="7">
        <f t="shared" si="42"/>
        <v>0</v>
      </c>
      <c r="Y72" s="2"/>
      <c r="Z72" s="6">
        <f t="shared" si="43"/>
        <v>0</v>
      </c>
    </row>
    <row r="73" spans="1:26" s="29" customFormat="1" outlineLevel="1" collapsed="1" x14ac:dyDescent="0.3">
      <c r="A73" s="28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SUM(OSRRefD22_6x_0)</f>
        <v>0</v>
      </c>
      <c r="E73" s="1"/>
      <c r="F73" s="5">
        <f t="shared" si="36"/>
        <v>0</v>
      </c>
      <c r="G73" s="1"/>
      <c r="H73" s="1">
        <f>SUM(OSRRefH22_6x_0)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SUM(OSRRefP22_6x_0)</f>
        <v>1295.0899999999999</v>
      </c>
      <c r="Q73" s="1"/>
      <c r="R73" s="5">
        <f t="shared" si="40"/>
        <v>5.5990330731138368E-3</v>
      </c>
      <c r="S73" s="1"/>
      <c r="T73" s="1">
        <f>SUM(OSRRefT22_6x_0)</f>
        <v>1285.46</v>
      </c>
      <c r="U73" s="1"/>
      <c r="V73" s="5">
        <f t="shared" si="41"/>
        <v>7.8539648634876683E-3</v>
      </c>
      <c r="W73" s="1"/>
      <c r="X73" s="1">
        <f t="shared" si="42"/>
        <v>9.6299999999998818</v>
      </c>
      <c r="Y73" s="1"/>
      <c r="Z73" s="5">
        <f t="shared" si="43"/>
        <v>7.4914816485926296E-3</v>
      </c>
    </row>
    <row r="74" spans="1:26" s="24" customFormat="1" hidden="1" outlineLevel="2" x14ac:dyDescent="0.3">
      <c r="A74" s="27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6">
        <f t="shared" si="36"/>
        <v>0</v>
      </c>
      <c r="G74" s="2"/>
      <c r="H74" s="7"/>
      <c r="I74" s="2"/>
      <c r="J74" s="6">
        <f t="shared" si="37"/>
        <v>0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>
        <v>1295.0899999999999</v>
      </c>
      <c r="Q74" s="2"/>
      <c r="R74" s="6">
        <f t="shared" si="40"/>
        <v>5.5990330731138368E-3</v>
      </c>
      <c r="S74" s="2"/>
      <c r="T74" s="7">
        <v>1285.46</v>
      </c>
      <c r="U74" s="2"/>
      <c r="V74" s="6">
        <f t="shared" si="41"/>
        <v>7.8539648634876683E-3</v>
      </c>
      <c r="W74" s="2"/>
      <c r="X74" s="7">
        <f t="shared" si="42"/>
        <v>9.6299999999998818</v>
      </c>
      <c r="Y74" s="2"/>
      <c r="Z74" s="6">
        <f t="shared" si="43"/>
        <v>7.4914816485926296E-3</v>
      </c>
    </row>
    <row r="75" spans="1:26" s="29" customFormat="1" outlineLevel="1" collapsed="1" x14ac:dyDescent="0.3">
      <c r="A75" s="28"/>
      <c r="B75" s="14" t="str">
        <f>CONCATENATE("     ","Insurance                                         ")</f>
        <v xml:space="preserve">     Insurance                                         </v>
      </c>
      <c r="C75" s="14"/>
      <c r="D75" s="1">
        <f>SUM(OSRRefD22_7x_0)</f>
        <v>219.08</v>
      </c>
      <c r="E75" s="1"/>
      <c r="F75" s="5">
        <f t="shared" si="36"/>
        <v>8.2387445880120029E-3</v>
      </c>
      <c r="G75" s="1"/>
      <c r="H75" s="1">
        <f>SUM(OSRRefH22_7x_0)</f>
        <v>161.18</v>
      </c>
      <c r="I75" s="1"/>
      <c r="J75" s="5">
        <f t="shared" si="37"/>
        <v>8.5948410690280183E-3</v>
      </c>
      <c r="K75" s="1"/>
      <c r="L75" s="1">
        <f t="shared" si="38"/>
        <v>57.900000000000006</v>
      </c>
      <c r="M75" s="1"/>
      <c r="N75" s="5">
        <f t="shared" si="39"/>
        <v>0.35922571038590395</v>
      </c>
      <c r="O75" s="14"/>
      <c r="P75" s="1">
        <f>SUM(OSRRefP22_7x_0)</f>
        <v>1533.56</v>
      </c>
      <c r="Q75" s="1"/>
      <c r="R75" s="5">
        <f t="shared" si="40"/>
        <v>6.630004987764909E-3</v>
      </c>
      <c r="S75" s="1"/>
      <c r="T75" s="1">
        <f>SUM(OSRRefT22_7x_0)</f>
        <v>1128.26</v>
      </c>
      <c r="U75" s="1"/>
      <c r="V75" s="5">
        <f t="shared" si="41"/>
        <v>6.8934968002727403E-3</v>
      </c>
      <c r="W75" s="1"/>
      <c r="X75" s="1">
        <f t="shared" si="42"/>
        <v>405.29999999999995</v>
      </c>
      <c r="Y75" s="1"/>
      <c r="Z75" s="5">
        <f t="shared" si="43"/>
        <v>0.3592257103859039</v>
      </c>
    </row>
    <row r="76" spans="1:26" s="24" customFormat="1" hidden="1" outlineLevel="2" x14ac:dyDescent="0.3">
      <c r="A76" s="27"/>
      <c r="B76" s="11" t="str">
        <f>CONCATENATE("          ", "6314", " - ", "LIABILITY INSURANCE")</f>
        <v xml:space="preserve">          6314 - LIABILITY INSURANCE</v>
      </c>
      <c r="C76" s="11"/>
      <c r="D76" s="7">
        <v>219.08</v>
      </c>
      <c r="E76" s="2"/>
      <c r="F76" s="6">
        <f t="shared" si="36"/>
        <v>8.2387445880120029E-3</v>
      </c>
      <c r="G76" s="2"/>
      <c r="H76" s="7">
        <v>161.18</v>
      </c>
      <c r="I76" s="2"/>
      <c r="J76" s="6">
        <f t="shared" si="37"/>
        <v>8.5948410690280183E-3</v>
      </c>
      <c r="K76" s="2"/>
      <c r="L76" s="7">
        <f t="shared" si="38"/>
        <v>57.900000000000006</v>
      </c>
      <c r="M76" s="2"/>
      <c r="N76" s="6">
        <f t="shared" si="39"/>
        <v>0.35922571038590395</v>
      </c>
      <c r="O76" s="11"/>
      <c r="P76" s="7">
        <v>1533.56</v>
      </c>
      <c r="Q76" s="2"/>
      <c r="R76" s="6">
        <f t="shared" si="40"/>
        <v>6.630004987764909E-3</v>
      </c>
      <c r="S76" s="2"/>
      <c r="T76" s="7">
        <v>1128.26</v>
      </c>
      <c r="U76" s="2"/>
      <c r="V76" s="6">
        <f t="shared" si="41"/>
        <v>6.8934968002727403E-3</v>
      </c>
      <c r="W76" s="2"/>
      <c r="X76" s="7">
        <f t="shared" si="42"/>
        <v>405.29999999999995</v>
      </c>
      <c r="Y76" s="2"/>
      <c r="Z76" s="6">
        <f t="shared" si="43"/>
        <v>0.3592257103859039</v>
      </c>
    </row>
    <row r="77" spans="1:26" s="29" customFormat="1" outlineLevel="1" collapsed="1" x14ac:dyDescent="0.3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SUM(OSRRefD22_8x_0)</f>
        <v>100</v>
      </c>
      <c r="E77" s="1"/>
      <c r="F77" s="5">
        <f t="shared" si="36"/>
        <v>3.7606100912963313E-3</v>
      </c>
      <c r="G77" s="1"/>
      <c r="H77" s="1">
        <f>SUM(OSRRefH22_8x_0)</f>
        <v>100</v>
      </c>
      <c r="I77" s="1"/>
      <c r="J77" s="5">
        <f t="shared" si="37"/>
        <v>5.3324488578161177E-3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SUM(OSRRefP22_8x_0)</f>
        <v>700</v>
      </c>
      <c r="Q77" s="1"/>
      <c r="R77" s="5">
        <f t="shared" si="40"/>
        <v>3.0262940422516472E-3</v>
      </c>
      <c r="S77" s="1"/>
      <c r="T77" s="1">
        <f>SUM(OSRRefT22_8x_0)</f>
        <v>700</v>
      </c>
      <c r="U77" s="1"/>
      <c r="V77" s="5">
        <f t="shared" si="41"/>
        <v>4.276893411262403E-3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1" t="str">
        <f>CONCATENATE("          ", "6408", " - ", "INVENTORY ADJUSTMENT")</f>
        <v xml:space="preserve">          6408 - INVENTORY ADJUSTMENT</v>
      </c>
      <c r="C78" s="11"/>
      <c r="D78" s="7">
        <v>100</v>
      </c>
      <c r="E78" s="2"/>
      <c r="F78" s="6">
        <f t="shared" si="36"/>
        <v>3.7606100912963313E-3</v>
      </c>
      <c r="G78" s="2"/>
      <c r="H78" s="7">
        <v>100</v>
      </c>
      <c r="I78" s="2"/>
      <c r="J78" s="6">
        <f t="shared" si="37"/>
        <v>5.3324488578161177E-3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>
        <v>700</v>
      </c>
      <c r="Q78" s="2"/>
      <c r="R78" s="6">
        <f t="shared" si="40"/>
        <v>3.0262940422516472E-3</v>
      </c>
      <c r="S78" s="2"/>
      <c r="T78" s="7">
        <v>700</v>
      </c>
      <c r="U78" s="2"/>
      <c r="V78" s="6">
        <f t="shared" si="41"/>
        <v>4.276893411262403E-3</v>
      </c>
      <c r="W78" s="2"/>
      <c r="X78" s="7">
        <f t="shared" si="42"/>
        <v>0</v>
      </c>
      <c r="Y78" s="2"/>
      <c r="Z78" s="6">
        <f t="shared" si="43"/>
        <v>0</v>
      </c>
    </row>
    <row r="79" spans="1:26" s="29" customFormat="1" outlineLevel="1" collapsed="1" x14ac:dyDescent="0.3">
      <c r="A79" s="28"/>
      <c r="B79" s="14" t="str">
        <f>CONCATENATE("     ","Professional Services                             ")</f>
        <v xml:space="preserve">     Professional Services                             </v>
      </c>
      <c r="C79" s="14"/>
      <c r="D79" s="1">
        <f>SUM(OSRRefD22_9x_0)</f>
        <v>0</v>
      </c>
      <c r="E79" s="1"/>
      <c r="F79" s="5">
        <f t="shared" si="36"/>
        <v>0</v>
      </c>
      <c r="G79" s="1"/>
      <c r="H79" s="1">
        <f>SUM(OSRRefH22_9x_0)</f>
        <v>0</v>
      </c>
      <c r="I79" s="1"/>
      <c r="J79" s="5">
        <f t="shared" si="37"/>
        <v>0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SUM(OSRRefP22_9x_0)</f>
        <v>161.46</v>
      </c>
      <c r="Q79" s="1"/>
      <c r="R79" s="5">
        <f t="shared" si="40"/>
        <v>6.9803633723135858E-4</v>
      </c>
      <c r="S79" s="1"/>
      <c r="T79" s="1">
        <f>SUM(OSRRefT22_9x_0)</f>
        <v>0</v>
      </c>
      <c r="U79" s="1"/>
      <c r="V79" s="5">
        <f t="shared" si="41"/>
        <v>0</v>
      </c>
      <c r="W79" s="1"/>
      <c r="X79" s="1">
        <f t="shared" si="42"/>
        <v>161.46</v>
      </c>
      <c r="Y79" s="1"/>
      <c r="Z79" s="5">
        <f t="shared" si="43"/>
        <v>0</v>
      </c>
    </row>
    <row r="80" spans="1:26" s="24" customFormat="1" hidden="1" outlineLevel="2" x14ac:dyDescent="0.3">
      <c r="A80" s="27"/>
      <c r="B80" s="11" t="str">
        <f>CONCATENATE("          ", "6336", " - ", "PROFESSIONAL SERVICES")</f>
        <v xml:space="preserve">          6336 - PROFESSIONAL SERVICES</v>
      </c>
      <c r="C80" s="11"/>
      <c r="D80" s="7"/>
      <c r="E80" s="2"/>
      <c r="F80" s="6">
        <f t="shared" si="36"/>
        <v>0</v>
      </c>
      <c r="G80" s="2"/>
      <c r="H80" s="7"/>
      <c r="I80" s="2"/>
      <c r="J80" s="6">
        <f t="shared" si="37"/>
        <v>0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>
        <v>161.46</v>
      </c>
      <c r="Q80" s="2"/>
      <c r="R80" s="6">
        <f t="shared" si="40"/>
        <v>6.9803633723135858E-4</v>
      </c>
      <c r="S80" s="2"/>
      <c r="T80" s="7"/>
      <c r="U80" s="2"/>
      <c r="V80" s="6">
        <f t="shared" si="41"/>
        <v>0</v>
      </c>
      <c r="W80" s="2"/>
      <c r="X80" s="7">
        <f t="shared" si="42"/>
        <v>161.46</v>
      </c>
      <c r="Y80" s="2"/>
      <c r="Z80" s="6">
        <f t="shared" si="43"/>
        <v>0</v>
      </c>
    </row>
    <row r="81" spans="1:26" s="29" customFormat="1" outlineLevel="1" collapsed="1" x14ac:dyDescent="0.3">
      <c r="A81" s="28"/>
      <c r="B81" s="14" t="str">
        <f>CONCATENATE("     ","Rent                                              ")</f>
        <v xml:space="preserve">     Rent                                              </v>
      </c>
      <c r="C81" s="14"/>
      <c r="D81" s="1">
        <f>SUM(OSRRefD22_10x_0)</f>
        <v>6900</v>
      </c>
      <c r="E81" s="1"/>
      <c r="F81" s="5">
        <f t="shared" si="36"/>
        <v>0.25948209629944685</v>
      </c>
      <c r="G81" s="1"/>
      <c r="H81" s="1">
        <f>SUM(OSRRefH22_10x_0)</f>
        <v>6900</v>
      </c>
      <c r="I81" s="1"/>
      <c r="J81" s="5">
        <f t="shared" si="37"/>
        <v>0.36793897118931213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48300</v>
      </c>
      <c r="Q81" s="1"/>
      <c r="R81" s="5">
        <f t="shared" si="40"/>
        <v>0.20881428891536366</v>
      </c>
      <c r="S81" s="1"/>
      <c r="T81" s="1">
        <f>SUM(OSRRefT22_10x_0)</f>
        <v>48300</v>
      </c>
      <c r="U81" s="1"/>
      <c r="V81" s="5">
        <f t="shared" si="41"/>
        <v>0.29510564537710576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3">
      <c r="A82" s="27"/>
      <c r="B82" s="11" t="str">
        <f>CONCATENATE("          ", "6273", " - ", "RENT")</f>
        <v xml:space="preserve">          6273 - RENT</v>
      </c>
      <c r="C82" s="11"/>
      <c r="D82" s="7">
        <v>6900</v>
      </c>
      <c r="E82" s="2"/>
      <c r="F82" s="6">
        <f t="shared" si="36"/>
        <v>0.25948209629944685</v>
      </c>
      <c r="G82" s="2"/>
      <c r="H82" s="7">
        <v>6900</v>
      </c>
      <c r="I82" s="2"/>
      <c r="J82" s="6">
        <f t="shared" si="37"/>
        <v>0.36793897118931213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48300</v>
      </c>
      <c r="Q82" s="2"/>
      <c r="R82" s="6">
        <f t="shared" si="40"/>
        <v>0.20881428891536366</v>
      </c>
      <c r="S82" s="2"/>
      <c r="T82" s="7">
        <v>48300</v>
      </c>
      <c r="U82" s="2"/>
      <c r="V82" s="6">
        <f t="shared" si="41"/>
        <v>0.29510564537710576</v>
      </c>
      <c r="W82" s="2"/>
      <c r="X82" s="7">
        <f t="shared" si="42"/>
        <v>0</v>
      </c>
      <c r="Y82" s="2"/>
      <c r="Z82" s="6">
        <f t="shared" si="43"/>
        <v>0</v>
      </c>
    </row>
    <row r="83" spans="1:26" s="29" customFormat="1" outlineLevel="1" collapsed="1" x14ac:dyDescent="0.3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SUM(OSRRefP22_11x_0)</f>
        <v>1286.6399999999999</v>
      </c>
      <c r="Q83" s="1"/>
      <c r="R83" s="5">
        <f t="shared" si="40"/>
        <v>5.5625013807466556E-3</v>
      </c>
      <c r="S83" s="1"/>
      <c r="T83" s="1">
        <f>SUM(OSRRefT22_11x_0)</f>
        <v>96.44</v>
      </c>
      <c r="U83" s="1"/>
      <c r="V83" s="5">
        <f t="shared" si="41"/>
        <v>5.8923371511735161E-4</v>
      </c>
      <c r="W83" s="1"/>
      <c r="X83" s="1">
        <f t="shared" si="42"/>
        <v>1190.1999999999998</v>
      </c>
      <c r="Y83" s="1"/>
      <c r="Z83" s="5">
        <f t="shared" si="43"/>
        <v>12.341352136043135</v>
      </c>
    </row>
    <row r="84" spans="1:26" s="24" customFormat="1" hidden="1" outlineLevel="2" x14ac:dyDescent="0.3">
      <c r="A84" s="27"/>
      <c r="B84" s="11" t="str">
        <f>CONCATENATE("          ", "6372", " - ", "COMPUTER HARDWARE MAINTENANCE")</f>
        <v xml:space="preserve">          6372 - COMPUTER HARDWARE MAINTENANCE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/>
      <c r="Q84" s="2"/>
      <c r="R84" s="6">
        <f t="shared" si="40"/>
        <v>0</v>
      </c>
      <c r="S84" s="2"/>
      <c r="T84" s="7">
        <v>0</v>
      </c>
      <c r="U84" s="2"/>
      <c r="V84" s="6">
        <f t="shared" si="41"/>
        <v>0</v>
      </c>
      <c r="W84" s="2"/>
      <c r="X84" s="7">
        <f t="shared" si="42"/>
        <v>0</v>
      </c>
      <c r="Y84" s="2"/>
      <c r="Z84" s="6">
        <f t="shared" si="43"/>
        <v>0</v>
      </c>
    </row>
    <row r="85" spans="1:26" s="24" customFormat="1" hidden="1" outlineLevel="2" x14ac:dyDescent="0.3">
      <c r="A85" s="27"/>
      <c r="B85" s="11" t="str">
        <f>CONCATENATE("          ", "6373", " - ", "MAINTENANCE CONTRACTS")</f>
        <v xml:space="preserve">          6373 - MAINTENANCE CONTRACTS</v>
      </c>
      <c r="C85" s="11"/>
      <c r="D85" s="7"/>
      <c r="E85" s="2"/>
      <c r="F85" s="6">
        <f t="shared" si="36"/>
        <v>0</v>
      </c>
      <c r="G85" s="2"/>
      <c r="H85" s="7"/>
      <c r="I85" s="2"/>
      <c r="J85" s="6">
        <f t="shared" si="37"/>
        <v>0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463.83</v>
      </c>
      <c r="Q85" s="2"/>
      <c r="R85" s="6">
        <f t="shared" si="40"/>
        <v>2.0052656651679737E-3</v>
      </c>
      <c r="S85" s="2"/>
      <c r="T85" s="7">
        <v>96.44</v>
      </c>
      <c r="U85" s="2"/>
      <c r="V85" s="6">
        <f t="shared" si="41"/>
        <v>5.8923371511735161E-4</v>
      </c>
      <c r="W85" s="2"/>
      <c r="X85" s="7">
        <f t="shared" si="42"/>
        <v>367.39</v>
      </c>
      <c r="Y85" s="2"/>
      <c r="Z85" s="6">
        <f t="shared" si="43"/>
        <v>3.8095188718374118</v>
      </c>
    </row>
    <row r="86" spans="1:26" s="24" customFormat="1" hidden="1" outlineLevel="2" x14ac:dyDescent="0.3">
      <c r="A86" s="27"/>
      <c r="B86" s="11" t="str">
        <f>CONCATENATE("          ", "6375", " - ", "OUTSIDE REPAIRS &amp; MAINTENANCE")</f>
        <v xml:space="preserve">          6375 - OUTSIDE REPAIRS &amp; MAINTENANCE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822.81</v>
      </c>
      <c r="Q86" s="2"/>
      <c r="R86" s="6">
        <f t="shared" si="40"/>
        <v>3.5572357155786824E-3</v>
      </c>
      <c r="S86" s="2"/>
      <c r="T86" s="7"/>
      <c r="U86" s="2"/>
      <c r="V86" s="6">
        <f t="shared" si="41"/>
        <v>0</v>
      </c>
      <c r="W86" s="2"/>
      <c r="X86" s="7">
        <f t="shared" si="42"/>
        <v>822.81</v>
      </c>
      <c r="Y86" s="2"/>
      <c r="Z86" s="6">
        <f t="shared" si="43"/>
        <v>0</v>
      </c>
    </row>
    <row r="87" spans="1:26" s="29" customFormat="1" outlineLevel="1" collapsed="1" x14ac:dyDescent="0.3">
      <c r="A87" s="28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SUM(OSRRefD22_12x_0)</f>
        <v>101.98999999999998</v>
      </c>
      <c r="E87" s="1"/>
      <c r="F87" s="5">
        <f t="shared" ref="F87:F90" si="44">IF(D$12=0,0,D87/D$12)</f>
        <v>3.8354462321131275E-3</v>
      </c>
      <c r="G87" s="1"/>
      <c r="H87" s="1">
        <f>SUM(OSRRefH22_12x_0)</f>
        <v>81.84</v>
      </c>
      <c r="I87" s="1"/>
      <c r="J87" s="5">
        <f t="shared" ref="J87:J90" si="45">IF(H$12=0,0,H87/H$12)</f>
        <v>4.3640761452367113E-3</v>
      </c>
      <c r="K87" s="1"/>
      <c r="L87" s="1">
        <f t="shared" ref="L87:L90" si="46">+D87-H87</f>
        <v>20.149999999999977</v>
      </c>
      <c r="M87" s="1"/>
      <c r="N87" s="5">
        <f t="shared" ref="N87:N90" si="47">IF(H87=0,0,L87/H87)</f>
        <v>0.24621212121212091</v>
      </c>
      <c r="O87" s="14"/>
      <c r="P87" s="1">
        <f>SUM(OSRRefP22_12x_0)</f>
        <v>1131.9100000000001</v>
      </c>
      <c r="Q87" s="1"/>
      <c r="R87" s="5">
        <f t="shared" ref="R87:R90" si="48">IF(P$12=0,0,P87/P$12)</f>
        <v>4.8935606990929467E-3</v>
      </c>
      <c r="S87" s="1"/>
      <c r="T87" s="1">
        <f>SUM(OSRRefT22_12x_0)</f>
        <v>274.65999999999997</v>
      </c>
      <c r="U87" s="1"/>
      <c r="V87" s="5">
        <f t="shared" ref="V87:V90" si="49">IF(T$12=0,0,T87/T$12)</f>
        <v>1.6781307776247592E-3</v>
      </c>
      <c r="W87" s="1"/>
      <c r="X87" s="1">
        <f t="shared" ref="X87:X90" si="50">+P87-T87</f>
        <v>857.25000000000011</v>
      </c>
      <c r="Y87" s="1"/>
      <c r="Z87" s="5">
        <f t="shared" ref="Z87:Z90" si="51">IF(T87=0,0,X87/T87)</f>
        <v>3.1211315808636138</v>
      </c>
    </row>
    <row r="88" spans="1:26" s="24" customFormat="1" hidden="1" outlineLevel="2" x14ac:dyDescent="0.3">
      <c r="A88" s="27"/>
      <c r="B88" s="11" t="str">
        <f>CONCATENATE("          ", "6283", " - ", "PLANT SERVICE")</f>
        <v xml:space="preserve">          6283 - PLANT SERVICE</v>
      </c>
      <c r="C88" s="11"/>
      <c r="D88" s="7"/>
      <c r="E88" s="2"/>
      <c r="F88" s="6">
        <f t="shared" si="44"/>
        <v>0</v>
      </c>
      <c r="G88" s="2"/>
      <c r="H88" s="7"/>
      <c r="I88" s="2"/>
      <c r="J88" s="6">
        <f t="shared" si="45"/>
        <v>0</v>
      </c>
      <c r="K88" s="2"/>
      <c r="L88" s="7">
        <f t="shared" si="46"/>
        <v>0</v>
      </c>
      <c r="M88" s="2"/>
      <c r="N88" s="6">
        <f t="shared" si="47"/>
        <v>0</v>
      </c>
      <c r="O88" s="11"/>
      <c r="P88" s="7"/>
      <c r="Q88" s="2"/>
      <c r="R88" s="6">
        <f t="shared" si="48"/>
        <v>0</v>
      </c>
      <c r="S88" s="2"/>
      <c r="T88" s="7">
        <v>41.31</v>
      </c>
      <c r="U88" s="2"/>
      <c r="V88" s="6">
        <f t="shared" si="49"/>
        <v>2.5239780974178552E-4</v>
      </c>
      <c r="W88" s="2"/>
      <c r="X88" s="7">
        <f t="shared" si="50"/>
        <v>-41.31</v>
      </c>
      <c r="Y88" s="2"/>
      <c r="Z88" s="6">
        <f t="shared" si="51"/>
        <v>-1</v>
      </c>
    </row>
    <row r="89" spans="1:26" s="24" customFormat="1" hidden="1" outlineLevel="2" x14ac:dyDescent="0.3">
      <c r="A89" s="27"/>
      <c r="B89" s="11" t="str">
        <f>CONCATENATE("          ", "6284", " - ", "TRASH REMOVAL EXPENSE")</f>
        <v xml:space="preserve">          6284 - TRASH REMOVAL EXPENSE</v>
      </c>
      <c r="C89" s="11"/>
      <c r="D89" s="7">
        <v>149.69999999999999</v>
      </c>
      <c r="E89" s="2"/>
      <c r="F89" s="6">
        <f t="shared" si="44"/>
        <v>5.6296333066706075E-3</v>
      </c>
      <c r="G89" s="2"/>
      <c r="H89" s="7">
        <v>142.57</v>
      </c>
      <c r="I89" s="2"/>
      <c r="J89" s="6">
        <f t="shared" si="45"/>
        <v>7.6024723365884384E-3</v>
      </c>
      <c r="K89" s="2"/>
      <c r="L89" s="7">
        <f t="shared" si="46"/>
        <v>7.1299999999999955</v>
      </c>
      <c r="M89" s="2"/>
      <c r="N89" s="6">
        <f t="shared" si="47"/>
        <v>5.0010521147506461E-2</v>
      </c>
      <c r="O89" s="11"/>
      <c r="P89" s="7">
        <v>1040.77</v>
      </c>
      <c r="Q89" s="2"/>
      <c r="R89" s="6">
        <f t="shared" si="48"/>
        <v>4.4995372147917812E-3</v>
      </c>
      <c r="S89" s="2"/>
      <c r="T89" s="7">
        <v>1013.01</v>
      </c>
      <c r="U89" s="2"/>
      <c r="V89" s="6">
        <f t="shared" si="49"/>
        <v>6.1893368493470382E-3</v>
      </c>
      <c r="W89" s="2"/>
      <c r="X89" s="7">
        <f t="shared" si="50"/>
        <v>27.759999999999991</v>
      </c>
      <c r="Y89" s="2"/>
      <c r="Z89" s="6">
        <f t="shared" si="51"/>
        <v>2.7403480715886309E-2</v>
      </c>
    </row>
    <row r="90" spans="1:26" s="24" customFormat="1" hidden="1" outlineLevel="2" x14ac:dyDescent="0.3">
      <c r="A90" s="27"/>
      <c r="B90" s="11" t="str">
        <f>CONCATENATE("          ", "6285", " - ", "JANITORIAL SERVICES")</f>
        <v xml:space="preserve">          6285 - JANITORIAL SERVICES</v>
      </c>
      <c r="C90" s="11"/>
      <c r="D90" s="7">
        <v>-47.71</v>
      </c>
      <c r="E90" s="2"/>
      <c r="F90" s="6">
        <f t="shared" si="44"/>
        <v>-1.7941870745574796E-3</v>
      </c>
      <c r="G90" s="2"/>
      <c r="H90" s="7">
        <v>-60.73</v>
      </c>
      <c r="I90" s="2"/>
      <c r="J90" s="6">
        <f t="shared" si="45"/>
        <v>-3.238396191351728E-3</v>
      </c>
      <c r="K90" s="2"/>
      <c r="L90" s="7">
        <f t="shared" si="46"/>
        <v>13.019999999999996</v>
      </c>
      <c r="M90" s="2"/>
      <c r="N90" s="6">
        <f t="shared" si="47"/>
        <v>-0.2143915692409023</v>
      </c>
      <c r="O90" s="11"/>
      <c r="P90" s="7">
        <v>91.14</v>
      </c>
      <c r="Q90" s="2"/>
      <c r="R90" s="6">
        <f t="shared" si="48"/>
        <v>3.9402348430116451E-4</v>
      </c>
      <c r="S90" s="2"/>
      <c r="T90" s="7">
        <v>-779.66</v>
      </c>
      <c r="U90" s="2"/>
      <c r="V90" s="6">
        <f t="shared" si="49"/>
        <v>-4.763603881464064E-3</v>
      </c>
      <c r="W90" s="2"/>
      <c r="X90" s="7">
        <f t="shared" si="50"/>
        <v>870.8</v>
      </c>
      <c r="Y90" s="2"/>
      <c r="Z90" s="6">
        <f t="shared" si="51"/>
        <v>-1.1168971089962292</v>
      </c>
    </row>
    <row r="91" spans="1:26" s="29" customFormat="1" outlineLevel="1" collapsed="1" x14ac:dyDescent="0.3">
      <c r="A91" s="28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SUM(OSRRefD22_13x_0)</f>
        <v>0</v>
      </c>
      <c r="E91" s="1"/>
      <c r="F91" s="5">
        <f t="shared" ref="F91:F93" si="52">IF(D$12=0,0,D91/D$12)</f>
        <v>0</v>
      </c>
      <c r="G91" s="1"/>
      <c r="H91" s="1">
        <f>SUM(OSRRefH22_13x_0)</f>
        <v>75</v>
      </c>
      <c r="I91" s="1"/>
      <c r="J91" s="5">
        <f t="shared" ref="J91:J93" si="53">IF(H$12=0,0,H91/H$12)</f>
        <v>3.9993366433620885E-3</v>
      </c>
      <c r="K91" s="1"/>
      <c r="L91" s="1">
        <f t="shared" ref="L91:L93" si="54">+D91-H91</f>
        <v>-75</v>
      </c>
      <c r="M91" s="1"/>
      <c r="N91" s="5">
        <f t="shared" ref="N91:N93" si="55">IF(H91=0,0,L91/H91)</f>
        <v>-1</v>
      </c>
      <c r="O91" s="14"/>
      <c r="P91" s="1">
        <f>SUM(OSRRefP22_13x_0)</f>
        <v>0</v>
      </c>
      <c r="Q91" s="1"/>
      <c r="R91" s="5">
        <f t="shared" ref="R91:R93" si="56">IF(P$12=0,0,P91/P$12)</f>
        <v>0</v>
      </c>
      <c r="S91" s="1"/>
      <c r="T91" s="1">
        <f>SUM(OSRRefT22_13x_0)</f>
        <v>164.27</v>
      </c>
      <c r="U91" s="1"/>
      <c r="V91" s="5">
        <f t="shared" ref="V91:V93" si="57">IF(T$12=0,0,T91/T$12)</f>
        <v>1.0036646866686785E-3</v>
      </c>
      <c r="W91" s="1"/>
      <c r="X91" s="1">
        <f t="shared" ref="X91:X93" si="58">+P91-T91</f>
        <v>-164.27</v>
      </c>
      <c r="Y91" s="1"/>
      <c r="Z91" s="5">
        <f t="shared" ref="Z91:Z93" si="59">IF(T91=0,0,X91/T91)</f>
        <v>-1</v>
      </c>
    </row>
    <row r="92" spans="1:26" s="24" customFormat="1" hidden="1" outlineLevel="2" x14ac:dyDescent="0.3">
      <c r="A92" s="27"/>
      <c r="B92" s="11" t="str">
        <f>CONCATENATE("          ", "6258", " - ", "MEMBERSHIP DUES")</f>
        <v xml:space="preserve">          6258 - MEMBERSHIP DUES</v>
      </c>
      <c r="C92" s="11"/>
      <c r="D92" s="7"/>
      <c r="E92" s="2"/>
      <c r="F92" s="6">
        <f t="shared" si="52"/>
        <v>0</v>
      </c>
      <c r="G92" s="2"/>
      <c r="H92" s="7"/>
      <c r="I92" s="2"/>
      <c r="J92" s="6">
        <f t="shared" si="53"/>
        <v>0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/>
      <c r="Q92" s="2"/>
      <c r="R92" s="6">
        <f t="shared" si="56"/>
        <v>0</v>
      </c>
      <c r="S92" s="2"/>
      <c r="T92" s="7">
        <v>-60.73</v>
      </c>
      <c r="U92" s="2"/>
      <c r="V92" s="6">
        <f t="shared" si="57"/>
        <v>-3.7105105266566529E-4</v>
      </c>
      <c r="W92" s="2"/>
      <c r="X92" s="7">
        <f t="shared" si="58"/>
        <v>60.73</v>
      </c>
      <c r="Y92" s="2"/>
      <c r="Z92" s="6">
        <f t="shared" si="59"/>
        <v>-1</v>
      </c>
    </row>
    <row r="93" spans="1:26" s="24" customFormat="1" hidden="1" outlineLevel="2" x14ac:dyDescent="0.3">
      <c r="A93" s="27"/>
      <c r="B93" s="11" t="str">
        <f>CONCATENATE("          ", "6275", " - ", "SUBSCRIPTIONS")</f>
        <v xml:space="preserve">          6275 - SUBSCRIPTIONS</v>
      </c>
      <c r="C93" s="11"/>
      <c r="D93" s="7"/>
      <c r="E93" s="2"/>
      <c r="F93" s="6">
        <f t="shared" si="52"/>
        <v>0</v>
      </c>
      <c r="G93" s="2"/>
      <c r="H93" s="7">
        <v>75</v>
      </c>
      <c r="I93" s="2"/>
      <c r="J93" s="6">
        <f t="shared" si="53"/>
        <v>3.9993366433620885E-3</v>
      </c>
      <c r="K93" s="2"/>
      <c r="L93" s="7">
        <f t="shared" si="54"/>
        <v>-75</v>
      </c>
      <c r="M93" s="2"/>
      <c r="N93" s="6">
        <f t="shared" si="55"/>
        <v>-1</v>
      </c>
      <c r="O93" s="11"/>
      <c r="P93" s="7"/>
      <c r="Q93" s="2"/>
      <c r="R93" s="6">
        <f t="shared" si="56"/>
        <v>0</v>
      </c>
      <c r="S93" s="2"/>
      <c r="T93" s="7">
        <v>225</v>
      </c>
      <c r="U93" s="2"/>
      <c r="V93" s="6">
        <f t="shared" si="57"/>
        <v>1.3747157393343436E-3</v>
      </c>
      <c r="W93" s="2"/>
      <c r="X93" s="7">
        <f t="shared" si="58"/>
        <v>-225</v>
      </c>
      <c r="Y93" s="2"/>
      <c r="Z93" s="6">
        <f t="shared" si="59"/>
        <v>-1</v>
      </c>
    </row>
    <row r="94" spans="1:26" s="29" customFormat="1" outlineLevel="1" collapsed="1" x14ac:dyDescent="0.3">
      <c r="A94" s="28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SUM(OSRRefD22_14x_0)</f>
        <v>29.9</v>
      </c>
      <c r="E94" s="1"/>
      <c r="F94" s="5">
        <f t="shared" ref="F94:F98" si="60">IF(D$12=0,0,D94/D$12)</f>
        <v>1.1244224172976029E-3</v>
      </c>
      <c r="G94" s="1"/>
      <c r="H94" s="1">
        <f>SUM(OSRRefH22_14x_0)</f>
        <v>0</v>
      </c>
      <c r="I94" s="1"/>
      <c r="J94" s="5">
        <f t="shared" ref="J94:J98" si="61">IF(H$12=0,0,H94/H$12)</f>
        <v>0</v>
      </c>
      <c r="K94" s="1"/>
      <c r="L94" s="1">
        <f t="shared" ref="L94:L98" si="62">+D94-H94</f>
        <v>29.9</v>
      </c>
      <c r="M94" s="1"/>
      <c r="N94" s="5">
        <f t="shared" ref="N94:N98" si="63">IF(H94=0,0,L94/H94)</f>
        <v>0</v>
      </c>
      <c r="O94" s="14"/>
      <c r="P94" s="1">
        <f>SUM(OSRRefP22_14x_0)</f>
        <v>1036.6300000000001</v>
      </c>
      <c r="Q94" s="1"/>
      <c r="R94" s="5">
        <f t="shared" ref="R94:R98" si="64">IF(P$12=0,0,P94/P$12)</f>
        <v>4.4816388471704653E-3</v>
      </c>
      <c r="S94" s="1"/>
      <c r="T94" s="1">
        <f>SUM(OSRRefT22_14x_0)</f>
        <v>553.20000000000005</v>
      </c>
      <c r="U94" s="1"/>
      <c r="V94" s="5">
        <f t="shared" ref="V94:V98" si="65">IF(T$12=0,0,T94/T$12)</f>
        <v>3.3799677644433734E-3</v>
      </c>
      <c r="W94" s="1"/>
      <c r="X94" s="1">
        <f t="shared" ref="X94:X98" si="66">+P94-T94</f>
        <v>483.43000000000006</v>
      </c>
      <c r="Y94" s="1"/>
      <c r="Z94" s="5">
        <f t="shared" ref="Z94:Z98" si="67">IF(T94=0,0,X94/T94)</f>
        <v>0.87387924801156913</v>
      </c>
    </row>
    <row r="95" spans="1:26" s="24" customFormat="1" hidden="1" outlineLevel="2" x14ac:dyDescent="0.3">
      <c r="A95" s="27"/>
      <c r="B95" s="11" t="str">
        <f>CONCATENATE("          ", "6235", " - ", "COVID-19 EXPENSES")</f>
        <v xml:space="preserve">          6235 - COVID-19 EXPENSES</v>
      </c>
      <c r="C95" s="11"/>
      <c r="D95" s="7"/>
      <c r="E95" s="2"/>
      <c r="F95" s="6">
        <f t="shared" si="60"/>
        <v>0</v>
      </c>
      <c r="G95" s="2"/>
      <c r="H95" s="7"/>
      <c r="I95" s="2"/>
      <c r="J95" s="6">
        <f t="shared" si="61"/>
        <v>0</v>
      </c>
      <c r="K95" s="2"/>
      <c r="L95" s="7">
        <f t="shared" si="62"/>
        <v>0</v>
      </c>
      <c r="M95" s="2"/>
      <c r="N95" s="6">
        <f t="shared" si="63"/>
        <v>0</v>
      </c>
      <c r="O95" s="11"/>
      <c r="P95" s="7"/>
      <c r="Q95" s="2"/>
      <c r="R95" s="6">
        <f t="shared" si="64"/>
        <v>0</v>
      </c>
      <c r="S95" s="2"/>
      <c r="T95" s="7">
        <v>265.7</v>
      </c>
      <c r="U95" s="2"/>
      <c r="V95" s="6">
        <f t="shared" si="65"/>
        <v>1.6233865419606004E-3</v>
      </c>
      <c r="W95" s="2"/>
      <c r="X95" s="7">
        <f t="shared" si="66"/>
        <v>-265.7</v>
      </c>
      <c r="Y95" s="2"/>
      <c r="Z95" s="6">
        <f t="shared" si="67"/>
        <v>-1</v>
      </c>
    </row>
    <row r="96" spans="1:26" s="24" customFormat="1" hidden="1" outlineLevel="2" x14ac:dyDescent="0.3">
      <c r="A96" s="27"/>
      <c r="B96" s="11" t="str">
        <f>CONCATENATE("          ", "6237", " - ", "JANITORIAL SUPPLIES")</f>
        <v xml:space="preserve">          6237 - JANITORIAL SUPPLIES</v>
      </c>
      <c r="C96" s="11"/>
      <c r="D96" s="7"/>
      <c r="E96" s="2"/>
      <c r="F96" s="6">
        <f t="shared" si="60"/>
        <v>0</v>
      </c>
      <c r="G96" s="2"/>
      <c r="H96" s="7"/>
      <c r="I96" s="2"/>
      <c r="J96" s="6">
        <f t="shared" si="61"/>
        <v>0</v>
      </c>
      <c r="K96" s="2"/>
      <c r="L96" s="7">
        <f t="shared" si="62"/>
        <v>0</v>
      </c>
      <c r="M96" s="2"/>
      <c r="N96" s="6">
        <f t="shared" si="63"/>
        <v>0</v>
      </c>
      <c r="O96" s="11"/>
      <c r="P96" s="7">
        <v>77.17</v>
      </c>
      <c r="Q96" s="2"/>
      <c r="R96" s="6">
        <f t="shared" si="64"/>
        <v>3.3362730177222805E-4</v>
      </c>
      <c r="S96" s="2"/>
      <c r="T96" s="7">
        <v>191.74</v>
      </c>
      <c r="U96" s="2"/>
      <c r="V96" s="6">
        <f t="shared" si="65"/>
        <v>1.1715022038220758E-3</v>
      </c>
      <c r="W96" s="2"/>
      <c r="X96" s="7">
        <f t="shared" si="66"/>
        <v>-114.57000000000001</v>
      </c>
      <c r="Y96" s="2"/>
      <c r="Z96" s="6">
        <f t="shared" si="67"/>
        <v>-0.59752790236778974</v>
      </c>
    </row>
    <row r="97" spans="1:26" s="24" customFormat="1" hidden="1" outlineLevel="2" x14ac:dyDescent="0.3">
      <c r="A97" s="27"/>
      <c r="B97" s="11" t="str">
        <f>CONCATENATE("          ", "6241", " - ", "OFFICE EXPENSE")</f>
        <v xml:space="preserve">          6241 - OFFICE EXPENSE</v>
      </c>
      <c r="C97" s="11"/>
      <c r="D97" s="7">
        <v>29.9</v>
      </c>
      <c r="E97" s="2"/>
      <c r="F97" s="6">
        <f t="shared" si="60"/>
        <v>1.1244224172976029E-3</v>
      </c>
      <c r="G97" s="2"/>
      <c r="H97" s="7"/>
      <c r="I97" s="2"/>
      <c r="J97" s="6">
        <f t="shared" si="61"/>
        <v>0</v>
      </c>
      <c r="K97" s="2"/>
      <c r="L97" s="7">
        <f t="shared" si="62"/>
        <v>29.9</v>
      </c>
      <c r="M97" s="2"/>
      <c r="N97" s="6">
        <f t="shared" si="63"/>
        <v>0</v>
      </c>
      <c r="O97" s="11"/>
      <c r="P97" s="7">
        <v>359.96</v>
      </c>
      <c r="Q97" s="2"/>
      <c r="R97" s="6">
        <f t="shared" si="64"/>
        <v>1.5562068620698613E-3</v>
      </c>
      <c r="S97" s="2"/>
      <c r="T97" s="7">
        <v>95.76</v>
      </c>
      <c r="U97" s="2"/>
      <c r="V97" s="6">
        <f t="shared" si="65"/>
        <v>5.8507901866069675E-4</v>
      </c>
      <c r="W97" s="2"/>
      <c r="X97" s="7">
        <f t="shared" si="66"/>
        <v>264.2</v>
      </c>
      <c r="Y97" s="2"/>
      <c r="Z97" s="6">
        <f t="shared" si="67"/>
        <v>2.7589807852965746</v>
      </c>
    </row>
    <row r="98" spans="1:26" s="24" customFormat="1" hidden="1" outlineLevel="2" x14ac:dyDescent="0.3">
      <c r="A98" s="27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60"/>
        <v>0</v>
      </c>
      <c r="G98" s="2"/>
      <c r="H98" s="7"/>
      <c r="I98" s="2"/>
      <c r="J98" s="6">
        <f t="shared" si="61"/>
        <v>0</v>
      </c>
      <c r="K98" s="2"/>
      <c r="L98" s="7">
        <f t="shared" si="62"/>
        <v>0</v>
      </c>
      <c r="M98" s="2"/>
      <c r="N98" s="6">
        <f t="shared" si="63"/>
        <v>0</v>
      </c>
      <c r="O98" s="11"/>
      <c r="P98" s="7">
        <v>599.5</v>
      </c>
      <c r="Q98" s="2"/>
      <c r="R98" s="6">
        <f t="shared" si="64"/>
        <v>2.5918046833283753E-3</v>
      </c>
      <c r="S98" s="2"/>
      <c r="T98" s="7"/>
      <c r="U98" s="2"/>
      <c r="V98" s="6">
        <f t="shared" si="65"/>
        <v>0</v>
      </c>
      <c r="W98" s="2"/>
      <c r="X98" s="7">
        <f t="shared" si="66"/>
        <v>599.5</v>
      </c>
      <c r="Y98" s="2"/>
      <c r="Z98" s="6">
        <f t="shared" si="67"/>
        <v>0</v>
      </c>
    </row>
    <row r="99" spans="1:26" s="29" customFormat="1" outlineLevel="1" collapsed="1" x14ac:dyDescent="0.3">
      <c r="A99" s="28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SUM(OSRRefD22_15x_0)</f>
        <v>297.83999999999997</v>
      </c>
      <c r="E99" s="1"/>
      <c r="F99" s="5">
        <f t="shared" ref="F99:F104" si="68">IF(D$12=0,0,D99/D$12)</f>
        <v>1.1200601095916992E-2</v>
      </c>
      <c r="G99" s="1"/>
      <c r="H99" s="1">
        <f>SUM(OSRRefH22_15x_0)</f>
        <v>231.48</v>
      </c>
      <c r="I99" s="1"/>
      <c r="J99" s="5">
        <f t="shared" ref="J99:J104" si="69">IF(H$12=0,0,H99/H$12)</f>
        <v>1.2343552616072749E-2</v>
      </c>
      <c r="K99" s="1"/>
      <c r="L99" s="1">
        <f t="shared" ref="L99:L104" si="70">+D99-H99</f>
        <v>66.359999999999985</v>
      </c>
      <c r="M99" s="1"/>
      <c r="N99" s="5">
        <f t="shared" ref="N99:N104" si="71">IF(H99=0,0,L99/H99)</f>
        <v>0.28667703473302225</v>
      </c>
      <c r="O99" s="14"/>
      <c r="P99" s="1">
        <f>SUM(OSRRefP22_15x_0)</f>
        <v>2179.88</v>
      </c>
      <c r="Q99" s="1"/>
      <c r="R99" s="5">
        <f t="shared" ref="R99:R104" si="72">IF(P$12=0,0,P99/P$12)</f>
        <v>9.4242255097478876E-3</v>
      </c>
      <c r="S99" s="1"/>
      <c r="T99" s="1">
        <f>SUM(OSRRefT22_15x_0)</f>
        <v>2297.1999999999998</v>
      </c>
      <c r="U99" s="1"/>
      <c r="V99" s="5">
        <f t="shared" ref="V99:V104" si="73">IF(T$12=0,0,T99/T$12)</f>
        <v>1.403554220621713E-2</v>
      </c>
      <c r="W99" s="1"/>
      <c r="X99" s="1">
        <f t="shared" ref="X99:X104" si="74">+P99-T99</f>
        <v>-117.31999999999971</v>
      </c>
      <c r="Y99" s="1"/>
      <c r="Z99" s="5">
        <f t="shared" ref="Z99:Z104" si="75">IF(T99=0,0,X99/T99)</f>
        <v>-5.1070868883858485E-2</v>
      </c>
    </row>
    <row r="100" spans="1:26" s="24" customFormat="1" hidden="1" outlineLevel="2" x14ac:dyDescent="0.3">
      <c r="A100" s="27"/>
      <c r="B100" s="11" t="str">
        <f>CONCATENATE("          ", "6309", " - ", "TELEPHONE")</f>
        <v xml:space="preserve">          6309 - TELEPHONE</v>
      </c>
      <c r="C100" s="11"/>
      <c r="D100" s="7">
        <v>297.83999999999997</v>
      </c>
      <c r="E100" s="2"/>
      <c r="F100" s="6">
        <f t="shared" si="68"/>
        <v>1.1200601095916992E-2</v>
      </c>
      <c r="G100" s="2"/>
      <c r="H100" s="7">
        <v>231.48</v>
      </c>
      <c r="I100" s="2"/>
      <c r="J100" s="6">
        <f t="shared" si="69"/>
        <v>1.2343552616072749E-2</v>
      </c>
      <c r="K100" s="2"/>
      <c r="L100" s="7">
        <f t="shared" si="70"/>
        <v>66.359999999999985</v>
      </c>
      <c r="M100" s="2"/>
      <c r="N100" s="6">
        <f t="shared" si="71"/>
        <v>0.28667703473302225</v>
      </c>
      <c r="O100" s="11"/>
      <c r="P100" s="7">
        <v>2179.88</v>
      </c>
      <c r="Q100" s="2"/>
      <c r="R100" s="6">
        <f t="shared" si="72"/>
        <v>9.4242255097478876E-3</v>
      </c>
      <c r="S100" s="2"/>
      <c r="T100" s="7">
        <v>2297.1999999999998</v>
      </c>
      <c r="U100" s="2"/>
      <c r="V100" s="6">
        <f t="shared" si="73"/>
        <v>1.403554220621713E-2</v>
      </c>
      <c r="W100" s="2"/>
      <c r="X100" s="7">
        <f t="shared" si="74"/>
        <v>-117.31999999999971</v>
      </c>
      <c r="Y100" s="2"/>
      <c r="Z100" s="6">
        <f t="shared" si="75"/>
        <v>-5.1070868883858485E-2</v>
      </c>
    </row>
    <row r="101" spans="1:26" s="29" customFormat="1" outlineLevel="1" collapsed="1" x14ac:dyDescent="0.3">
      <c r="A101" s="28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SUM(OSRRefD22_16x_0)</f>
        <v>0</v>
      </c>
      <c r="E101" s="1"/>
      <c r="F101" s="5">
        <f t="shared" si="68"/>
        <v>0</v>
      </c>
      <c r="G101" s="1"/>
      <c r="H101" s="1">
        <f>SUM(OSRRefH22_16x_0)</f>
        <v>59.46</v>
      </c>
      <c r="I101" s="1"/>
      <c r="J101" s="5">
        <f t="shared" si="69"/>
        <v>3.1706740908574635E-3</v>
      </c>
      <c r="K101" s="1"/>
      <c r="L101" s="1">
        <f t="shared" si="70"/>
        <v>-59.46</v>
      </c>
      <c r="M101" s="1"/>
      <c r="N101" s="5">
        <f t="shared" si="71"/>
        <v>-1</v>
      </c>
      <c r="O101" s="14"/>
      <c r="P101" s="1">
        <f>SUM(OSRRefP22_16x_0)</f>
        <v>199.61</v>
      </c>
      <c r="Q101" s="1"/>
      <c r="R101" s="5">
        <f t="shared" si="72"/>
        <v>8.629693625340734E-4</v>
      </c>
      <c r="S101" s="1"/>
      <c r="T101" s="1">
        <f>SUM(OSRRefT22_16x_0)</f>
        <v>381.34</v>
      </c>
      <c r="U101" s="1"/>
      <c r="V101" s="5">
        <f t="shared" si="73"/>
        <v>2.3299293335011491E-3</v>
      </c>
      <c r="W101" s="1"/>
      <c r="X101" s="1">
        <f t="shared" si="74"/>
        <v>-181.72999999999996</v>
      </c>
      <c r="Y101" s="1"/>
      <c r="Z101" s="5">
        <f t="shared" si="75"/>
        <v>-0.47655635390989659</v>
      </c>
    </row>
    <row r="102" spans="1:26" s="24" customFormat="1" hidden="1" outlineLevel="2" x14ac:dyDescent="0.3">
      <c r="A102" s="27"/>
      <c r="B102" s="11" t="str">
        <f>CONCATENATE("          ", "6294", " - ", "TRAVEL OPERATIONAL")</f>
        <v xml:space="preserve">          6294 - TRAVEL OPERATIONAL</v>
      </c>
      <c r="C102" s="11"/>
      <c r="D102" s="7"/>
      <c r="E102" s="2"/>
      <c r="F102" s="6">
        <f t="shared" si="68"/>
        <v>0</v>
      </c>
      <c r="G102" s="2"/>
      <c r="H102" s="7">
        <v>59.46</v>
      </c>
      <c r="I102" s="2"/>
      <c r="J102" s="6">
        <f t="shared" si="69"/>
        <v>3.1706740908574635E-3</v>
      </c>
      <c r="K102" s="2"/>
      <c r="L102" s="7">
        <f t="shared" si="70"/>
        <v>-59.46</v>
      </c>
      <c r="M102" s="2"/>
      <c r="N102" s="6">
        <f t="shared" si="71"/>
        <v>-1</v>
      </c>
      <c r="O102" s="11"/>
      <c r="P102" s="7">
        <v>199.61</v>
      </c>
      <c r="Q102" s="2"/>
      <c r="R102" s="6">
        <f t="shared" si="72"/>
        <v>8.629693625340734E-4</v>
      </c>
      <c r="S102" s="2"/>
      <c r="T102" s="7">
        <v>381.34</v>
      </c>
      <c r="U102" s="2"/>
      <c r="V102" s="6">
        <f t="shared" si="73"/>
        <v>2.3299293335011491E-3</v>
      </c>
      <c r="W102" s="2"/>
      <c r="X102" s="7">
        <f t="shared" si="74"/>
        <v>-181.72999999999996</v>
      </c>
      <c r="Y102" s="2"/>
      <c r="Z102" s="6">
        <f t="shared" si="75"/>
        <v>-0.47655635390989659</v>
      </c>
    </row>
    <row r="103" spans="1:26" s="29" customFormat="1" outlineLevel="1" collapsed="1" x14ac:dyDescent="0.3">
      <c r="A103" s="28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SUM(OSRRefD22_17x_0)</f>
        <v>292.91000000000003</v>
      </c>
      <c r="E103" s="1"/>
      <c r="F103" s="5">
        <f t="shared" si="68"/>
        <v>1.1015203018416084E-2</v>
      </c>
      <c r="G103" s="1"/>
      <c r="H103" s="1">
        <f>SUM(OSRRefH22_17x_0)</f>
        <v>32.61</v>
      </c>
      <c r="I103" s="1"/>
      <c r="J103" s="5">
        <f t="shared" si="69"/>
        <v>1.738911572533836E-3</v>
      </c>
      <c r="K103" s="1"/>
      <c r="L103" s="1">
        <f t="shared" si="70"/>
        <v>260.3</v>
      </c>
      <c r="M103" s="1"/>
      <c r="N103" s="5">
        <f t="shared" si="71"/>
        <v>7.9822140447715428</v>
      </c>
      <c r="O103" s="14"/>
      <c r="P103" s="1">
        <f>SUM(OSRRefP22_17x_0)</f>
        <v>539.41999999999996</v>
      </c>
      <c r="Q103" s="1"/>
      <c r="R103" s="5">
        <f t="shared" si="72"/>
        <v>2.3320621889591194E-3</v>
      </c>
      <c r="S103" s="1"/>
      <c r="T103" s="1">
        <f>SUM(OSRRefT22_17x_0)</f>
        <v>177.01</v>
      </c>
      <c r="U103" s="1"/>
      <c r="V103" s="5">
        <f t="shared" si="73"/>
        <v>1.081504146753654E-3</v>
      </c>
      <c r="W103" s="1"/>
      <c r="X103" s="1">
        <f t="shared" si="74"/>
        <v>362.40999999999997</v>
      </c>
      <c r="Y103" s="1"/>
      <c r="Z103" s="5">
        <f t="shared" si="75"/>
        <v>2.0473984520648552</v>
      </c>
    </row>
    <row r="104" spans="1:26" s="24" customFormat="1" hidden="1" outlineLevel="2" x14ac:dyDescent="0.3">
      <c r="A104" s="27"/>
      <c r="B104" s="11" t="str">
        <f>CONCATENATE("          ", "6274", " - ", "UTILITIES")</f>
        <v xml:space="preserve">          6274 - UTILITIES</v>
      </c>
      <c r="C104" s="11"/>
      <c r="D104" s="7">
        <v>292.91000000000003</v>
      </c>
      <c r="E104" s="2"/>
      <c r="F104" s="6">
        <f t="shared" si="68"/>
        <v>1.1015203018416084E-2</v>
      </c>
      <c r="G104" s="2"/>
      <c r="H104" s="7">
        <v>32.61</v>
      </c>
      <c r="I104" s="2"/>
      <c r="J104" s="6">
        <f t="shared" si="69"/>
        <v>1.738911572533836E-3</v>
      </c>
      <c r="K104" s="2"/>
      <c r="L104" s="7">
        <f t="shared" si="70"/>
        <v>260.3</v>
      </c>
      <c r="M104" s="2"/>
      <c r="N104" s="6">
        <f t="shared" si="71"/>
        <v>7.9822140447715428</v>
      </c>
      <c r="O104" s="11"/>
      <c r="P104" s="7">
        <v>539.41999999999996</v>
      </c>
      <c r="Q104" s="2"/>
      <c r="R104" s="6">
        <f t="shared" si="72"/>
        <v>2.3320621889591194E-3</v>
      </c>
      <c r="S104" s="2"/>
      <c r="T104" s="7">
        <v>177.01</v>
      </c>
      <c r="U104" s="2"/>
      <c r="V104" s="6">
        <f t="shared" si="73"/>
        <v>1.081504146753654E-3</v>
      </c>
      <c r="W104" s="2"/>
      <c r="X104" s="7">
        <f t="shared" si="74"/>
        <v>362.40999999999997</v>
      </c>
      <c r="Y104" s="2"/>
      <c r="Z104" s="6">
        <f t="shared" si="75"/>
        <v>2.0473984520648552</v>
      </c>
    </row>
    <row r="105" spans="1:26" s="52" customFormat="1" x14ac:dyDescent="0.3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x14ac:dyDescent="0.3">
      <c r="A106" s="10"/>
      <c r="B106" s="26" t="s">
        <v>292</v>
      </c>
      <c r="C106" s="10"/>
      <c r="D106" s="4">
        <f>SUM(0)</f>
        <v>0</v>
      </c>
      <c r="E106" s="4"/>
      <c r="F106" s="12">
        <f>IF(D$12=0,0,D106/D$12)</f>
        <v>0</v>
      </c>
      <c r="G106" s="4"/>
      <c r="H106" s="4">
        <f>SUM(0)</f>
        <v>0</v>
      </c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>
        <f>SUM(0)</f>
        <v>0</v>
      </c>
      <c r="Q106" s="4"/>
      <c r="R106" s="12">
        <f>IF(P$12=0,0,P106/P$12)</f>
        <v>0</v>
      </c>
      <c r="S106" s="4"/>
      <c r="T106" s="4">
        <f>SUM(0)</f>
        <v>0</v>
      </c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3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">
      <c r="A108" s="10"/>
      <c r="B108" s="25" t="s">
        <v>276</v>
      </c>
      <c r="C108" s="25"/>
      <c r="D108" s="21">
        <f>+D47-D49+D106</f>
        <v>-3134.3300000000017</v>
      </c>
      <c r="E108" s="13"/>
      <c r="F108" s="22">
        <f>IF(D$12=0,0,D108/D$12)</f>
        <v>-0.11786993027452836</v>
      </c>
      <c r="G108" s="13"/>
      <c r="H108" s="21">
        <f>+H47-H49+H106</f>
        <v>-13291.360000000004</v>
      </c>
      <c r="I108" s="13"/>
      <c r="J108" s="22">
        <f>IF(H$12=0,0,H108/H$12)</f>
        <v>-0.70875497450822855</v>
      </c>
      <c r="K108" s="15"/>
      <c r="L108" s="21">
        <f>+D108-H108</f>
        <v>10157.030000000002</v>
      </c>
      <c r="M108" s="15"/>
      <c r="N108" s="22">
        <f>IF(H108=0,0,L108/H108)</f>
        <v>-0.7641828977621552</v>
      </c>
      <c r="O108" s="26"/>
      <c r="P108" s="21">
        <f>+P47-P49+P106</f>
        <v>1520.4399999999878</v>
      </c>
      <c r="Q108" s="13"/>
      <c r="R108" s="22">
        <f>IF(P$12=0,0,P108/P$12)</f>
        <v>6.5732835908586537E-3</v>
      </c>
      <c r="S108" s="13"/>
      <c r="T108" s="21">
        <f>+T47-T49+T106</f>
        <v>-61935.689999999915</v>
      </c>
      <c r="U108" s="13"/>
      <c r="V108" s="22">
        <f>IF(T$12=0,0,T108/T$12)</f>
        <v>-0.37841763497570047</v>
      </c>
      <c r="W108" s="15"/>
      <c r="X108" s="21">
        <f>+P108-T108</f>
        <v>63456.129999999903</v>
      </c>
      <c r="Y108" s="15"/>
      <c r="Z108" s="22">
        <f>IF(T108=0,0,X108/T108)</f>
        <v>-1.0245486891322271</v>
      </c>
    </row>
    <row r="109" spans="1:26" x14ac:dyDescent="0.3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51"/>
      <c r="B110" s="10" t="s">
        <v>127</v>
      </c>
      <c r="C110" s="10"/>
      <c r="D110" s="4">
        <v>5975.71</v>
      </c>
      <c r="E110" s="4"/>
      <c r="F110" s="12">
        <f>IF(D$12=0,0,D110/D$12)</f>
        <v>0.224723153286604</v>
      </c>
      <c r="G110" s="4"/>
      <c r="H110" s="4">
        <v>2897.74</v>
      </c>
      <c r="I110" s="4"/>
      <c r="J110" s="12">
        <f>IF(H$12=0,0,H110/H$12)</f>
        <v>0.15452050353248076</v>
      </c>
      <c r="K110" s="4"/>
      <c r="L110" s="4">
        <f>+D110-H110</f>
        <v>3077.9700000000003</v>
      </c>
      <c r="M110" s="4"/>
      <c r="N110" s="12">
        <f>IF(H110=0,0,L110/H110)</f>
        <v>1.0621967464299766</v>
      </c>
      <c r="O110" s="10"/>
      <c r="P110" s="4">
        <v>30617.37</v>
      </c>
      <c r="Q110" s="4"/>
      <c r="R110" s="12">
        <f>IF(P$12=0,0,P110/P$12)</f>
        <v>0.13236737774344903</v>
      </c>
      <c r="S110" s="4"/>
      <c r="T110" s="4">
        <v>29710.47</v>
      </c>
      <c r="U110" s="4"/>
      <c r="V110" s="12">
        <f>IF(T$12=0,0,T110/T$12)</f>
        <v>0.18152644769787041</v>
      </c>
      <c r="W110" s="4"/>
      <c r="X110" s="4">
        <f>+P110-T110</f>
        <v>906.89999999999782</v>
      </c>
      <c r="Y110" s="4"/>
      <c r="Z110" s="12">
        <f>IF(T110=0,0,X110/T110)</f>
        <v>3.0524592845552354E-2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" thickBot="1" x14ac:dyDescent="0.35">
      <c r="A112" s="10"/>
      <c r="B112" s="25" t="s">
        <v>125</v>
      </c>
      <c r="C112" s="25"/>
      <c r="D112" s="36">
        <f>+D108-D110</f>
        <v>-9110.0400000000009</v>
      </c>
      <c r="E112" s="13"/>
      <c r="F112" s="31">
        <f>IF(D$12=0,0,D112/D$12)</f>
        <v>-0.34259308356113233</v>
      </c>
      <c r="G112" s="13"/>
      <c r="H112" s="36">
        <f>+H108-H110</f>
        <v>-16189.100000000004</v>
      </c>
      <c r="I112" s="13"/>
      <c r="J112" s="31">
        <f>IF(H$12=0,0,H112/H$12)</f>
        <v>-0.86327547804070937</v>
      </c>
      <c r="K112" s="15"/>
      <c r="L112" s="36">
        <f>D112-H112</f>
        <v>7079.0600000000031</v>
      </c>
      <c r="M112" s="15"/>
      <c r="N112" s="31">
        <f>IF(H112=0,0,L112/H112)</f>
        <v>-0.43727322704782856</v>
      </c>
      <c r="O112" s="26"/>
      <c r="P112" s="36">
        <f>+P108-P110</f>
        <v>-29096.930000000011</v>
      </c>
      <c r="Q112" s="13"/>
      <c r="R112" s="31">
        <f>IF(P$12=0,0,P112/P$12)</f>
        <v>-0.12579409415259038</v>
      </c>
      <c r="S112" s="13"/>
      <c r="T112" s="36">
        <f>+T108-T110</f>
        <v>-91646.159999999916</v>
      </c>
      <c r="U112" s="13"/>
      <c r="V112" s="31">
        <f>IF(T$12=0,0,T112/T$12)</f>
        <v>-0.55994408267357088</v>
      </c>
      <c r="W112" s="15"/>
      <c r="X112" s="36">
        <f>P112-T112</f>
        <v>62549.229999999909</v>
      </c>
      <c r="Y112" s="15"/>
      <c r="Z112" s="31">
        <f>IF(T112=0,0,X112/T112)</f>
        <v>-0.68250791958986567</v>
      </c>
    </row>
    <row r="113" spans="1:26" ht="15" thickTop="1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3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5" t="s">
        <v>293</v>
      </c>
      <c r="C115" s="25"/>
      <c r="D115" s="35">
        <f>SUM(D112:D114)</f>
        <v>-9110.0400000000009</v>
      </c>
      <c r="E115" s="13"/>
      <c r="F115" s="32">
        <f>IF(D$12=0,0,D115/D$12)</f>
        <v>-0.34259308356113233</v>
      </c>
      <c r="G115" s="13"/>
      <c r="H115" s="35">
        <f>SUM(H112:H114)</f>
        <v>-16189.100000000004</v>
      </c>
      <c r="I115" s="13"/>
      <c r="J115" s="32">
        <f>IF(H$12=0,0,H115/H$12)</f>
        <v>-0.86327547804070937</v>
      </c>
      <c r="K115" s="15"/>
      <c r="L115" s="35">
        <f>+D115-H115</f>
        <v>7079.0600000000031</v>
      </c>
      <c r="M115" s="15"/>
      <c r="N115" s="32">
        <f>IF(H115=0,0,L115/H115)</f>
        <v>-0.43727322704782856</v>
      </c>
      <c r="O115" s="26"/>
      <c r="P115" s="35">
        <f>SUM(P112:P114)</f>
        <v>-29096.930000000011</v>
      </c>
      <c r="Q115" s="13"/>
      <c r="R115" s="32">
        <f>IF(P$12=0,0,P115/P$12)</f>
        <v>-0.12579409415259038</v>
      </c>
      <c r="S115" s="13"/>
      <c r="T115" s="35">
        <f>SUM(T112:T114)</f>
        <v>-91646.159999999916</v>
      </c>
      <c r="U115" s="13"/>
      <c r="V115" s="32">
        <f>IF(T$12=0,0,T115/T$12)</f>
        <v>-0.55994408267357088</v>
      </c>
      <c r="W115" s="15"/>
      <c r="X115" s="35">
        <f>+P115-T115</f>
        <v>62549.229999999909</v>
      </c>
      <c r="Y115" s="15"/>
      <c r="Z115" s="32">
        <f>IF(T115=0,0,X115/T115)</f>
        <v>-0.68250791958986567</v>
      </c>
    </row>
    <row r="116" spans="1:26" ht="15" thickTop="1" x14ac:dyDescent="0.3">
      <c r="A116" s="9"/>
      <c r="C116" s="9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">
      <c r="A117" s="9"/>
      <c r="B117" s="54">
        <v>44604.028475694446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">
      <c r="A118" s="9"/>
      <c r="B118" s="53" t="s">
        <v>56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A119" s="9"/>
      <c r="B119" s="59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5" t="s">
        <v>125</v>
      </c>
      <c r="C26" s="25"/>
      <c r="D26" s="36">
        <f>+D22-D24</f>
        <v>0</v>
      </c>
      <c r="E26" s="13"/>
      <c r="F26" s="31">
        <f>IF(D$12=0,0,D26/D$12)</f>
        <v>0</v>
      </c>
      <c r="G26" s="13"/>
      <c r="H26" s="36">
        <f>+H22-H24</f>
        <v>0</v>
      </c>
      <c r="I26" s="13"/>
      <c r="J26" s="31">
        <f>IF(H$12=0,0,H26/H$12)</f>
        <v>0</v>
      </c>
      <c r="K26" s="15"/>
      <c r="L26" s="36">
        <f>D26-H26</f>
        <v>0</v>
      </c>
      <c r="M26" s="15"/>
      <c r="N26" s="31">
        <f>IF(H26=0,0,L26/H26)</f>
        <v>0</v>
      </c>
      <c r="O26" s="26"/>
      <c r="P26" s="36">
        <f>+P22-P24</f>
        <v>0</v>
      </c>
      <c r="Q26" s="13"/>
      <c r="R26" s="31">
        <f>IF(P$12=0,0,P26/P$12)</f>
        <v>0</v>
      </c>
      <c r="S26" s="13"/>
      <c r="T26" s="36">
        <f>+T22-T24</f>
        <v>0</v>
      </c>
      <c r="U26" s="13"/>
      <c r="V26" s="31">
        <f>IF(T$12=0,0,T26/T$12)</f>
        <v>0</v>
      </c>
      <c r="W26" s="15"/>
      <c r="X26" s="36">
        <f>P26-T26</f>
        <v>0</v>
      </c>
      <c r="Y26" s="15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-529057.18</f>
        <v>-529057.18000000005</v>
      </c>
      <c r="E28" s="4"/>
      <c r="F28" s="12">
        <f t="shared" ref="F28:F29" si="0">IF(D$12=0,0,D28/D$12)</f>
        <v>0</v>
      </c>
      <c r="G28" s="4"/>
      <c r="H28" s="4">
        <f>-35869.32</f>
        <v>-35869.32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-493187.86000000004</v>
      </c>
      <c r="M28" s="4"/>
      <c r="N28" s="12">
        <f t="shared" ref="N28:N29" si="3">IF(H28=0,0,L28/H28)</f>
        <v>13.749573730419201</v>
      </c>
      <c r="O28" s="10"/>
      <c r="P28" s="4">
        <f>-614193.88</f>
        <v>-614193.88</v>
      </c>
      <c r="Q28" s="4"/>
      <c r="R28" s="12">
        <f t="shared" ref="R28:R29" si="4">IF(P$12=0,0,P28/P$12)</f>
        <v>0</v>
      </c>
      <c r="S28" s="4"/>
      <c r="T28" s="4">
        <f>--1958183.98</f>
        <v>1958183.98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-2572377.86</v>
      </c>
      <c r="Y28" s="4"/>
      <c r="Z28" s="12">
        <f t="shared" ref="Z28:Z29" si="7">IF(T28=0,0,X28/T28)</f>
        <v>-1.3136548384999043</v>
      </c>
    </row>
    <row r="29" spans="1:26" s="23" customFormat="1" x14ac:dyDescent="0.3">
      <c r="A29" s="51"/>
      <c r="B29" s="10" t="s">
        <v>81</v>
      </c>
      <c r="C29" s="10"/>
      <c r="D29" s="4">
        <f>--2124202.74</f>
        <v>2124202.7400000002</v>
      </c>
      <c r="E29" s="4"/>
      <c r="F29" s="12">
        <f t="shared" si="0"/>
        <v>0</v>
      </c>
      <c r="G29" s="4"/>
      <c r="H29" s="4">
        <f>--10065.17</f>
        <v>10065.17</v>
      </c>
      <c r="I29" s="4"/>
      <c r="J29" s="12">
        <f t="shared" si="1"/>
        <v>0</v>
      </c>
      <c r="K29" s="4"/>
      <c r="L29" s="4">
        <f t="shared" si="2"/>
        <v>2114137.5700000003</v>
      </c>
      <c r="M29" s="4"/>
      <c r="N29" s="12">
        <f t="shared" si="3"/>
        <v>210.04489442304504</v>
      </c>
      <c r="O29" s="10"/>
      <c r="P29" s="4">
        <f>--2309610.44</f>
        <v>2309610.44</v>
      </c>
      <c r="Q29" s="4"/>
      <c r="R29" s="12">
        <f t="shared" si="4"/>
        <v>0</v>
      </c>
      <c r="S29" s="4"/>
      <c r="T29" s="4">
        <f>--54576</f>
        <v>54576</v>
      </c>
      <c r="U29" s="4"/>
      <c r="V29" s="12">
        <f t="shared" si="5"/>
        <v>0</v>
      </c>
      <c r="W29" s="4"/>
      <c r="X29" s="4">
        <f t="shared" si="6"/>
        <v>2255034.44</v>
      </c>
      <c r="Y29" s="4"/>
      <c r="Z29" s="12">
        <f t="shared" si="7"/>
        <v>41.319159337437704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5">
        <f>SUM(D26:D30)</f>
        <v>1595145.56</v>
      </c>
      <c r="E31" s="13"/>
      <c r="F31" s="32">
        <f>IF(D$12=0,0,D31/D$12)</f>
        <v>0</v>
      </c>
      <c r="G31" s="13"/>
      <c r="H31" s="35">
        <f>SUM(H26:H30)</f>
        <v>-25804.15</v>
      </c>
      <c r="I31" s="13"/>
      <c r="J31" s="32">
        <f>IF(H$12=0,0,H31/H$12)</f>
        <v>0</v>
      </c>
      <c r="K31" s="15"/>
      <c r="L31" s="35">
        <f>+D31-H31</f>
        <v>1620949.71</v>
      </c>
      <c r="M31" s="15"/>
      <c r="N31" s="32">
        <f>IF(H31=0,0,L31/H31)</f>
        <v>-62.817403789700492</v>
      </c>
      <c r="O31" s="26"/>
      <c r="P31" s="35">
        <f>SUM(P26:P30)</f>
        <v>1695416.56</v>
      </c>
      <c r="Q31" s="13"/>
      <c r="R31" s="32">
        <f>IF(P$12=0,0,P31/P$12)</f>
        <v>0</v>
      </c>
      <c r="S31" s="13"/>
      <c r="T31" s="35">
        <f>SUM(T26:T30)</f>
        <v>2012759.98</v>
      </c>
      <c r="U31" s="13"/>
      <c r="V31" s="32">
        <f>IF(T$12=0,0,T31/T$12)</f>
        <v>0</v>
      </c>
      <c r="W31" s="15"/>
      <c r="X31" s="35">
        <f>+P31-T31</f>
        <v>-317343.41999999993</v>
      </c>
      <c r="Y31" s="15"/>
      <c r="Z31" s="32">
        <f>IF(T31=0,0,X31/T31)</f>
        <v>-0.15766580374874103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4">
        <v>44604.028461192131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3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23282.739999999998</v>
      </c>
      <c r="E12" s="4"/>
      <c r="F12" s="12"/>
      <c r="G12" s="4"/>
      <c r="H12" s="4">
        <f>SUM(OSRRefH13x_0)</f>
        <v>29576.499999999996</v>
      </c>
      <c r="I12" s="4"/>
      <c r="J12" s="12"/>
      <c r="K12" s="4"/>
      <c r="L12" s="4">
        <f t="shared" ref="L12:L24" si="0">+D12-H12</f>
        <v>-6293.7599999999984</v>
      </c>
      <c r="M12" s="4"/>
      <c r="N12" s="12">
        <f t="shared" ref="N12:N24" si="1">IF(H12=0,0,L12/H12)</f>
        <v>-0.21279596977329973</v>
      </c>
      <c r="O12" s="10"/>
      <c r="P12" s="4">
        <f>SUM(OSRRefP13x_0)</f>
        <v>122241.45</v>
      </c>
      <c r="Q12" s="4"/>
      <c r="R12" s="12"/>
      <c r="S12" s="4"/>
      <c r="T12" s="4">
        <f>SUM(OSRRefT13x_0)</f>
        <v>104406.22</v>
      </c>
      <c r="U12" s="4"/>
      <c r="V12" s="12"/>
      <c r="W12" s="4"/>
      <c r="X12" s="4">
        <f t="shared" ref="X12:X24" si="2">+P12-T12</f>
        <v>17835.229999999996</v>
      </c>
      <c r="Y12" s="4"/>
      <c r="Z12" s="12">
        <f t="shared" ref="Z12:Z24" si="3">IF(T12=0,0,X12/T12)</f>
        <v>0.17082535887229702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--21634.61</f>
        <v>21634.61</v>
      </c>
      <c r="E13" s="2"/>
      <c r="F13" s="19"/>
      <c r="G13" s="2"/>
      <c r="H13" s="2">
        <f>-0.63</f>
        <v>-0.63</v>
      </c>
      <c r="I13" s="2"/>
      <c r="J13" s="19"/>
      <c r="K13" s="2"/>
      <c r="L13" s="2">
        <f t="shared" si="0"/>
        <v>21635.24</v>
      </c>
      <c r="M13" s="2"/>
      <c r="N13" s="19">
        <f t="shared" si="1"/>
        <v>-34341.650793650799</v>
      </c>
      <c r="O13" s="11"/>
      <c r="P13" s="2">
        <f>--100311.79</f>
        <v>100311.79</v>
      </c>
      <c r="Q13" s="2"/>
      <c r="R13" s="19"/>
      <c r="S13" s="2"/>
      <c r="T13" s="2">
        <f>-9.28</f>
        <v>-9.2799999999999994</v>
      </c>
      <c r="U13" s="2"/>
      <c r="V13" s="19"/>
      <c r="W13" s="2"/>
      <c r="X13" s="2">
        <f t="shared" si="2"/>
        <v>100321.06999999999</v>
      </c>
      <c r="Y13" s="2"/>
      <c r="Z13" s="19">
        <f t="shared" si="3"/>
        <v>-10810.460129310344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--27561.7</f>
        <v>27561.7</v>
      </c>
      <c r="I14" s="2"/>
      <c r="J14" s="19"/>
      <c r="K14" s="2"/>
      <c r="L14" s="2">
        <f t="shared" si="0"/>
        <v>-27561.7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--88505.97</f>
        <v>88505.97</v>
      </c>
      <c r="U14" s="2"/>
      <c r="V14" s="19"/>
      <c r="W14" s="2"/>
      <c r="X14" s="2">
        <f t="shared" si="2"/>
        <v>-88505.97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--1691.73</f>
        <v>1691.73</v>
      </c>
      <c r="I15" s="2"/>
      <c r="J15" s="19"/>
      <c r="K15" s="2"/>
      <c r="L15" s="2">
        <f t="shared" si="0"/>
        <v>-1691.73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--14545.58</f>
        <v>14545.58</v>
      </c>
      <c r="U15" s="2"/>
      <c r="V15" s="19"/>
      <c r="W15" s="2"/>
      <c r="X15" s="2">
        <f t="shared" si="2"/>
        <v>-14545.58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--18.35</f>
        <v>18.350000000000001</v>
      </c>
      <c r="I16" s="2"/>
      <c r="J16" s="19"/>
      <c r="K16" s="2"/>
      <c r="L16" s="2">
        <f t="shared" si="0"/>
        <v>-18.350000000000001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--34.31</f>
        <v>34.31</v>
      </c>
      <c r="U16" s="2"/>
      <c r="V16" s="19"/>
      <c r="W16" s="2"/>
      <c r="X16" s="2">
        <f t="shared" si="2"/>
        <v>-34.31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--1803.53</f>
        <v>1803.53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1803.53</v>
      </c>
      <c r="M17" s="2"/>
      <c r="N17" s="19">
        <f t="shared" si="1"/>
        <v>0</v>
      </c>
      <c r="O17" s="11"/>
      <c r="P17" s="2">
        <f>--22488.06</f>
        <v>22488.06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22488.06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1" si="6">0</f>
        <v>0</v>
      </c>
      <c r="E18" s="2"/>
      <c r="F18" s="19"/>
      <c r="G18" s="2"/>
      <c r="H18" s="2">
        <f>--708.6</f>
        <v>708.6</v>
      </c>
      <c r="I18" s="2"/>
      <c r="J18" s="19"/>
      <c r="K18" s="2"/>
      <c r="L18" s="2">
        <f t="shared" si="0"/>
        <v>-708.6</v>
      </c>
      <c r="M18" s="2"/>
      <c r="N18" s="19">
        <f t="shared" si="1"/>
        <v>-1</v>
      </c>
      <c r="O18" s="11"/>
      <c r="P18" s="2">
        <f t="shared" ref="P18:P21" si="7">0</f>
        <v>0</v>
      </c>
      <c r="Q18" s="2"/>
      <c r="R18" s="19"/>
      <c r="S18" s="2"/>
      <c r="T18" s="2">
        <f>--1228.25</f>
        <v>1228.25</v>
      </c>
      <c r="U18" s="2"/>
      <c r="V18" s="19"/>
      <c r="W18" s="2"/>
      <c r="X18" s="2">
        <f t="shared" si="2"/>
        <v>-1228.25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6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7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6"/>
        <v>0</v>
      </c>
      <c r="E20" s="2"/>
      <c r="F20" s="19"/>
      <c r="G20" s="2"/>
      <c r="H20" s="2">
        <f>--12.7</f>
        <v>12.7</v>
      </c>
      <c r="I20" s="2"/>
      <c r="J20" s="19"/>
      <c r="K20" s="2"/>
      <c r="L20" s="2">
        <f t="shared" si="0"/>
        <v>-12.7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--140.6</f>
        <v>140.6</v>
      </c>
      <c r="U20" s="2"/>
      <c r="V20" s="19"/>
      <c r="W20" s="2"/>
      <c r="X20" s="2">
        <f t="shared" si="2"/>
        <v>-140.6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6"/>
        <v>0</v>
      </c>
      <c r="E21" s="2"/>
      <c r="F21" s="19"/>
      <c r="G21" s="2"/>
      <c r="H21" s="2">
        <f>--11</f>
        <v>11</v>
      </c>
      <c r="I21" s="2"/>
      <c r="J21" s="19"/>
      <c r="K21" s="2"/>
      <c r="L21" s="2">
        <f t="shared" si="0"/>
        <v>-11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--115.5</f>
        <v>115.5</v>
      </c>
      <c r="U21" s="2"/>
      <c r="V21" s="19"/>
      <c r="W21" s="2"/>
      <c r="X21" s="2">
        <f t="shared" si="2"/>
        <v>-115.5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-155.4</f>
        <v>-155.4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-155.4</v>
      </c>
      <c r="M22" s="2"/>
      <c r="N22" s="19">
        <f t="shared" si="1"/>
        <v>0</v>
      </c>
      <c r="O22" s="11"/>
      <c r="P22" s="2">
        <f>-558.4</f>
        <v>-558.4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-558.4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8">0</f>
        <v>0</v>
      </c>
      <c r="E23" s="2"/>
      <c r="F23" s="19"/>
      <c r="G23" s="2"/>
      <c r="H23" s="2">
        <f>-415.75</f>
        <v>-415.75</v>
      </c>
      <c r="I23" s="2"/>
      <c r="J23" s="19"/>
      <c r="K23" s="2"/>
      <c r="L23" s="2">
        <f t="shared" si="0"/>
        <v>415.75</v>
      </c>
      <c r="M23" s="2"/>
      <c r="N23" s="19">
        <f t="shared" si="1"/>
        <v>-1</v>
      </c>
      <c r="O23" s="11"/>
      <c r="P23" s="2">
        <f t="shared" ref="P23:P24" si="9">0</f>
        <v>0</v>
      </c>
      <c r="Q23" s="2"/>
      <c r="R23" s="19"/>
      <c r="S23" s="2"/>
      <c r="T23" s="2">
        <f>-1254.1</f>
        <v>-1254.0999999999999</v>
      </c>
      <c r="U23" s="2"/>
      <c r="V23" s="19"/>
      <c r="W23" s="2"/>
      <c r="X23" s="2">
        <f t="shared" si="2"/>
        <v>1254.0999999999999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8"/>
        <v>0</v>
      </c>
      <c r="E24" s="2"/>
      <c r="F24" s="19"/>
      <c r="G24" s="2"/>
      <c r="H24" s="2">
        <f>-11.2</f>
        <v>-11.2</v>
      </c>
      <c r="I24" s="2"/>
      <c r="J24" s="19"/>
      <c r="K24" s="2"/>
      <c r="L24" s="2">
        <f t="shared" si="0"/>
        <v>11.2</v>
      </c>
      <c r="M24" s="2"/>
      <c r="N24" s="19">
        <f t="shared" si="1"/>
        <v>-1</v>
      </c>
      <c r="O24" s="11"/>
      <c r="P24" s="2">
        <f t="shared" si="9"/>
        <v>0</v>
      </c>
      <c r="Q24" s="2"/>
      <c r="R24" s="19"/>
      <c r="S24" s="2"/>
      <c r="T24" s="2">
        <f>-11.2</f>
        <v>-11.2</v>
      </c>
      <c r="U24" s="2"/>
      <c r="V24" s="19"/>
      <c r="W24" s="2"/>
      <c r="X24" s="2">
        <f t="shared" si="2"/>
        <v>11.2</v>
      </c>
      <c r="Y24" s="2"/>
      <c r="Z24" s="19">
        <f t="shared" si="3"/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3">
      <c r="A26" s="10"/>
      <c r="B26" s="26" t="s">
        <v>256</v>
      </c>
      <c r="C26" s="10"/>
      <c r="D26" s="4">
        <f>SUM(OSRRefD16x_0)</f>
        <v>0</v>
      </c>
      <c r="E26" s="4"/>
      <c r="F26" s="12">
        <f t="shared" ref="F26:F29" si="10">IF(D$12=0,0,D26/D$12)</f>
        <v>0</v>
      </c>
      <c r="G26" s="4"/>
      <c r="H26" s="4">
        <f>SUM(OSRRefH16x_0)</f>
        <v>0</v>
      </c>
      <c r="I26" s="4"/>
      <c r="J26" s="12">
        <f t="shared" ref="J26:J29" si="11">IF(H$12=0,0,H26/H$12)</f>
        <v>0</v>
      </c>
      <c r="K26" s="4"/>
      <c r="L26" s="4">
        <f t="shared" ref="L26:L29" si="12">+D26-H26</f>
        <v>0</v>
      </c>
      <c r="M26" s="4"/>
      <c r="N26" s="12">
        <f t="shared" ref="N26:N29" si="13">IF(H26=0,0,L26/H26)</f>
        <v>0</v>
      </c>
      <c r="O26" s="10"/>
      <c r="P26" s="4">
        <f>SUM(OSRRefP16x_0)</f>
        <v>8.26</v>
      </c>
      <c r="Q26" s="4"/>
      <c r="R26" s="12">
        <f t="shared" ref="R26:R29" si="14">IF(P$12=0,0,P26/P$12)</f>
        <v>6.7571188005377875E-5</v>
      </c>
      <c r="S26" s="4"/>
      <c r="T26" s="4">
        <f>SUM(OSRRefT16x_0)</f>
        <v>0</v>
      </c>
      <c r="U26" s="4"/>
      <c r="V26" s="12">
        <f t="shared" ref="V26:V29" si="15">IF(T$12=0,0,T26/T$12)</f>
        <v>0</v>
      </c>
      <c r="W26" s="4"/>
      <c r="X26" s="4">
        <f t="shared" ref="X26:X29" si="16">+P26-T26</f>
        <v>8.26</v>
      </c>
      <c r="Y26" s="4"/>
      <c r="Z26" s="12">
        <f t="shared" ref="Z26:Z29" si="17">IF(T26=0,0,X26/T26)</f>
        <v>0</v>
      </c>
    </row>
    <row r="27" spans="1:26" s="24" customFormat="1" hidden="1" outlineLevel="1" x14ac:dyDescent="0.3">
      <c r="A27" s="44"/>
      <c r="B27" s="11" t="str">
        <f>CONCATENATE("          ", "5092", " - ", "PURCHASES @ COST-GRAD MERCH")</f>
        <v xml:space="preserve">          5092 - PURCHASES @ COST-GRAD MERCH</v>
      </c>
      <c r="C27" s="11"/>
      <c r="D27" s="2"/>
      <c r="E27" s="2"/>
      <c r="F27" s="19">
        <f t="shared" si="10"/>
        <v>0</v>
      </c>
      <c r="G27" s="2"/>
      <c r="H27" s="2"/>
      <c r="I27" s="2"/>
      <c r="J27" s="19">
        <f t="shared" si="11"/>
        <v>0</v>
      </c>
      <c r="K27" s="2"/>
      <c r="L27" s="2">
        <f t="shared" si="12"/>
        <v>0</v>
      </c>
      <c r="M27" s="2"/>
      <c r="N27" s="19">
        <f t="shared" si="13"/>
        <v>0</v>
      </c>
      <c r="O27" s="11"/>
      <c r="P27" s="2"/>
      <c r="Q27" s="2"/>
      <c r="R27" s="19">
        <f t="shared" si="14"/>
        <v>0</v>
      </c>
      <c r="S27" s="2"/>
      <c r="T27" s="2">
        <v>0</v>
      </c>
      <c r="U27" s="2"/>
      <c r="V27" s="19">
        <f t="shared" si="15"/>
        <v>0</v>
      </c>
      <c r="W27" s="2"/>
      <c r="X27" s="2">
        <f t="shared" si="16"/>
        <v>0</v>
      </c>
      <c r="Y27" s="2"/>
      <c r="Z27" s="19">
        <f t="shared" si="17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/>
      <c r="E28" s="2"/>
      <c r="F28" s="19">
        <f t="shared" si="10"/>
        <v>0</v>
      </c>
      <c r="G28" s="2"/>
      <c r="H28" s="2"/>
      <c r="I28" s="2"/>
      <c r="J28" s="19">
        <f t="shared" si="11"/>
        <v>0</v>
      </c>
      <c r="K28" s="2"/>
      <c r="L28" s="2">
        <f t="shared" si="12"/>
        <v>0</v>
      </c>
      <c r="M28" s="2"/>
      <c r="N28" s="19">
        <f t="shared" si="13"/>
        <v>0</v>
      </c>
      <c r="O28" s="11"/>
      <c r="P28" s="2">
        <v>8.26</v>
      </c>
      <c r="Q28" s="2"/>
      <c r="R28" s="19">
        <f t="shared" si="14"/>
        <v>6.7571188005377875E-5</v>
      </c>
      <c r="S28" s="2"/>
      <c r="T28" s="2"/>
      <c r="U28" s="2"/>
      <c r="V28" s="19">
        <f t="shared" si="15"/>
        <v>0</v>
      </c>
      <c r="W28" s="2"/>
      <c r="X28" s="2">
        <f t="shared" si="16"/>
        <v>8.26</v>
      </c>
      <c r="Y28" s="2"/>
      <c r="Z28" s="19">
        <f t="shared" si="17"/>
        <v>0</v>
      </c>
    </row>
    <row r="29" spans="1:26" s="24" customFormat="1" hidden="1" outlineLevel="1" x14ac:dyDescent="0.3">
      <c r="A29" s="44"/>
      <c r="B29" s="11" t="str">
        <f>CONCATENATE("          ", "5592", " - ", "FREIGHT-IN-GRAD MERCH")</f>
        <v xml:space="preserve">          5592 - FREIGHT-IN-GRAD MERCH</v>
      </c>
      <c r="C29" s="11"/>
      <c r="D29" s="2"/>
      <c r="E29" s="2"/>
      <c r="F29" s="19">
        <f t="shared" si="10"/>
        <v>0</v>
      </c>
      <c r="G29" s="2"/>
      <c r="H29" s="2"/>
      <c r="I29" s="2"/>
      <c r="J29" s="19">
        <f t="shared" si="11"/>
        <v>0</v>
      </c>
      <c r="K29" s="2"/>
      <c r="L29" s="2">
        <f t="shared" si="12"/>
        <v>0</v>
      </c>
      <c r="M29" s="2"/>
      <c r="N29" s="19">
        <f t="shared" si="13"/>
        <v>0</v>
      </c>
      <c r="O29" s="11"/>
      <c r="P29" s="2"/>
      <c r="Q29" s="2"/>
      <c r="R29" s="19">
        <f t="shared" si="14"/>
        <v>0</v>
      </c>
      <c r="S29" s="2"/>
      <c r="T29" s="2">
        <v>0</v>
      </c>
      <c r="U29" s="2"/>
      <c r="V29" s="19">
        <f t="shared" si="15"/>
        <v>0</v>
      </c>
      <c r="W29" s="2"/>
      <c r="X29" s="2">
        <f t="shared" si="16"/>
        <v>0</v>
      </c>
      <c r="Y29" s="2"/>
      <c r="Z29" s="19">
        <f t="shared" si="17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5" t="s">
        <v>107</v>
      </c>
      <c r="C31" s="25"/>
      <c r="D31" s="21">
        <f>D12-D26</f>
        <v>23282.739999999998</v>
      </c>
      <c r="E31" s="13"/>
      <c r="F31" s="22">
        <f>IF(D$12=0,0,D31/D$12)</f>
        <v>1</v>
      </c>
      <c r="G31" s="13"/>
      <c r="H31" s="21">
        <f>H12-H26</f>
        <v>29576.499999999996</v>
      </c>
      <c r="I31" s="13"/>
      <c r="J31" s="22">
        <f>IF(H$12=0,0,H31/H$12)</f>
        <v>1</v>
      </c>
      <c r="K31" s="15"/>
      <c r="L31" s="21">
        <f>+D31-H31</f>
        <v>-6293.7599999999984</v>
      </c>
      <c r="M31" s="15"/>
      <c r="N31" s="22">
        <f>IF(H31=0,0,L31/H31)</f>
        <v>-0.21279596977329973</v>
      </c>
      <c r="O31" s="26"/>
      <c r="P31" s="21">
        <f>P12-P26</f>
        <v>122233.19</v>
      </c>
      <c r="Q31" s="13"/>
      <c r="R31" s="22">
        <f>IF(P$12=0,0,P31/P$12)</f>
        <v>0.99993242881199462</v>
      </c>
      <c r="S31" s="13"/>
      <c r="T31" s="21">
        <f>T12-T26</f>
        <v>104406.22</v>
      </c>
      <c r="U31" s="13"/>
      <c r="V31" s="22">
        <f>IF(T$12=0,0,T31/T$12)</f>
        <v>1</v>
      </c>
      <c r="W31" s="15"/>
      <c r="X31" s="21">
        <f>+P31-T31</f>
        <v>17826.97</v>
      </c>
      <c r="Y31" s="15"/>
      <c r="Z31" s="22">
        <f>IF(T31=0,0,X31/T31)</f>
        <v>0.17074624481185124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6" t="s">
        <v>294</v>
      </c>
      <c r="C33" s="10"/>
      <c r="D33" s="20">
        <f>SUM(OSRRefD22x_0)</f>
        <v>19051.819999999996</v>
      </c>
      <c r="E33" s="20"/>
      <c r="F33" s="30">
        <f t="shared" ref="F33:F42" si="18">IF(D$12=0,0,D33/D$12)</f>
        <v>0.81828083808005403</v>
      </c>
      <c r="G33" s="20"/>
      <c r="H33" s="20">
        <f>SUM(OSRRefH22x_0)</f>
        <v>18107.289999999994</v>
      </c>
      <c r="I33" s="20"/>
      <c r="J33" s="30">
        <f t="shared" ref="J33:J42" si="19">IF(H$12=0,0,H33/H$12)</f>
        <v>0.61221882237587255</v>
      </c>
      <c r="K33" s="4"/>
      <c r="L33" s="20">
        <f t="shared" ref="L33:L42" si="20">+D33-H33</f>
        <v>944.53000000000247</v>
      </c>
      <c r="M33" s="4"/>
      <c r="N33" s="30">
        <f t="shared" ref="N33:N42" si="21">IF(H33=0,0,L33/H33)</f>
        <v>5.2162968616507648E-2</v>
      </c>
      <c r="O33" s="10"/>
      <c r="P33" s="20">
        <f>SUM(OSRRefP22x_0)</f>
        <v>162049.65999999997</v>
      </c>
      <c r="Q33" s="20"/>
      <c r="R33" s="30">
        <f t="shared" ref="R33:R42" si="22">IF(P$12=0,0,P33/P$12)</f>
        <v>1.325652305335056</v>
      </c>
      <c r="S33" s="20"/>
      <c r="T33" s="20">
        <f>SUM(OSRRefT22x_0)</f>
        <v>210231.74999999994</v>
      </c>
      <c r="U33" s="20"/>
      <c r="V33" s="30">
        <f t="shared" ref="V33:V42" si="23">IF(T$12=0,0,T33/T$12)</f>
        <v>2.0135941134541597</v>
      </c>
      <c r="W33" s="4"/>
      <c r="X33" s="20">
        <f t="shared" ref="X33:X42" si="24">+P33-T33</f>
        <v>-48182.089999999967</v>
      </c>
      <c r="Y33" s="4"/>
      <c r="Z33" s="30">
        <f t="shared" ref="Z33:Z42" si="25">IF(T33=0,0,X33/T33)</f>
        <v>-0.22918560112827857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5896.13</v>
      </c>
      <c r="E34" s="1"/>
      <c r="F34" s="5">
        <f t="shared" si="18"/>
        <v>0.25324038321950082</v>
      </c>
      <c r="G34" s="1"/>
      <c r="H34" s="1">
        <f>SUM(OSRRefH22_0x_0)</f>
        <v>11976.35</v>
      </c>
      <c r="I34" s="1"/>
      <c r="J34" s="5">
        <f t="shared" si="19"/>
        <v>0.40492789883860503</v>
      </c>
      <c r="K34" s="1"/>
      <c r="L34" s="1">
        <f t="shared" si="20"/>
        <v>-6080.22</v>
      </c>
      <c r="M34" s="1"/>
      <c r="N34" s="5">
        <f t="shared" si="21"/>
        <v>-0.5076855636316574</v>
      </c>
      <c r="O34" s="14"/>
      <c r="P34" s="1">
        <f>SUM(OSRRefP22_0x_0)</f>
        <v>58243.55000000001</v>
      </c>
      <c r="Q34" s="1"/>
      <c r="R34" s="5">
        <f t="shared" si="22"/>
        <v>0.47646318004244886</v>
      </c>
      <c r="S34" s="1"/>
      <c r="T34" s="1">
        <f>SUM(OSRRefT22_0x_0)</f>
        <v>66685.219999999987</v>
      </c>
      <c r="U34" s="1"/>
      <c r="V34" s="5">
        <f t="shared" si="23"/>
        <v>0.63870926463959699</v>
      </c>
      <c r="W34" s="1"/>
      <c r="X34" s="1">
        <f t="shared" si="24"/>
        <v>-8441.6699999999764</v>
      </c>
      <c r="Y34" s="1"/>
      <c r="Z34" s="5">
        <f t="shared" si="25"/>
        <v>-0.12658982005307889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681.32</v>
      </c>
      <c r="E35" s="2"/>
      <c r="F35" s="6">
        <f t="shared" si="18"/>
        <v>2.9262878853605723E-2</v>
      </c>
      <c r="G35" s="2"/>
      <c r="H35" s="7">
        <v>1213.6400000000001</v>
      </c>
      <c r="I35" s="2"/>
      <c r="J35" s="6">
        <f t="shared" si="19"/>
        <v>4.1033928963873353E-2</v>
      </c>
      <c r="K35" s="2"/>
      <c r="L35" s="7">
        <f t="shared" si="20"/>
        <v>-532.32000000000005</v>
      </c>
      <c r="M35" s="2"/>
      <c r="N35" s="6">
        <f t="shared" si="21"/>
        <v>-0.43861441613658086</v>
      </c>
      <c r="O35" s="11"/>
      <c r="P35" s="7">
        <v>9843.61</v>
      </c>
      <c r="Q35" s="2"/>
      <c r="R35" s="6">
        <f t="shared" si="22"/>
        <v>8.0525959075256393E-2</v>
      </c>
      <c r="S35" s="2"/>
      <c r="T35" s="7">
        <v>9040.41</v>
      </c>
      <c r="U35" s="2"/>
      <c r="V35" s="6">
        <f t="shared" si="23"/>
        <v>8.6588806682207239E-2</v>
      </c>
      <c r="W35" s="2"/>
      <c r="X35" s="7">
        <f t="shared" si="24"/>
        <v>803.20000000000073</v>
      </c>
      <c r="Y35" s="2"/>
      <c r="Z35" s="6">
        <f t="shared" si="25"/>
        <v>8.8845528023618475E-2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164.86</v>
      </c>
      <c r="E36" s="2"/>
      <c r="F36" s="6">
        <f t="shared" si="18"/>
        <v>7.0807817292981856E-3</v>
      </c>
      <c r="G36" s="2"/>
      <c r="H36" s="7">
        <v>61.08</v>
      </c>
      <c r="I36" s="2"/>
      <c r="J36" s="6">
        <f t="shared" si="19"/>
        <v>2.0651530776122939E-3</v>
      </c>
      <c r="K36" s="2"/>
      <c r="L36" s="7">
        <f t="shared" si="20"/>
        <v>103.78000000000002</v>
      </c>
      <c r="M36" s="2"/>
      <c r="N36" s="6">
        <f t="shared" si="21"/>
        <v>1.6990831696136217</v>
      </c>
      <c r="O36" s="11"/>
      <c r="P36" s="7">
        <v>2174.92</v>
      </c>
      <c r="Q36" s="2"/>
      <c r="R36" s="6">
        <f t="shared" si="22"/>
        <v>1.7792000994752599E-2</v>
      </c>
      <c r="S36" s="2"/>
      <c r="T36" s="7">
        <v>2405.0300000000002</v>
      </c>
      <c r="U36" s="2"/>
      <c r="V36" s="6">
        <f t="shared" si="23"/>
        <v>2.303531341331963E-2</v>
      </c>
      <c r="W36" s="2"/>
      <c r="X36" s="7">
        <f t="shared" si="24"/>
        <v>-230.11000000000013</v>
      </c>
      <c r="Y36" s="2"/>
      <c r="Z36" s="6">
        <f t="shared" si="25"/>
        <v>-9.5678640183282579E-2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1287</v>
      </c>
      <c r="E37" s="2"/>
      <c r="F37" s="6">
        <f t="shared" si="18"/>
        <v>5.5276999184803853E-2</v>
      </c>
      <c r="G37" s="2"/>
      <c r="H37" s="7">
        <v>6051.48</v>
      </c>
      <c r="I37" s="2"/>
      <c r="J37" s="6">
        <f t="shared" si="19"/>
        <v>0.20460433114127771</v>
      </c>
      <c r="K37" s="2"/>
      <c r="L37" s="7">
        <f t="shared" si="20"/>
        <v>-4764.4799999999996</v>
      </c>
      <c r="M37" s="2"/>
      <c r="N37" s="6">
        <f t="shared" si="21"/>
        <v>-0.7873247536139919</v>
      </c>
      <c r="O37" s="11"/>
      <c r="P37" s="7">
        <v>19173.02</v>
      </c>
      <c r="Q37" s="2"/>
      <c r="R37" s="6">
        <f t="shared" si="22"/>
        <v>0.15684548898920947</v>
      </c>
      <c r="S37" s="2"/>
      <c r="T37" s="7">
        <v>25792.81</v>
      </c>
      <c r="U37" s="2"/>
      <c r="V37" s="6">
        <f t="shared" si="23"/>
        <v>0.2470428485965683</v>
      </c>
      <c r="W37" s="2"/>
      <c r="X37" s="7">
        <f t="shared" si="24"/>
        <v>-6619.7900000000009</v>
      </c>
      <c r="Y37" s="2"/>
      <c r="Z37" s="6">
        <f t="shared" si="25"/>
        <v>-0.25665253223669698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28.96</v>
      </c>
      <c r="E38" s="2"/>
      <c r="F38" s="6">
        <f t="shared" si="18"/>
        <v>1.243839857336379E-3</v>
      </c>
      <c r="G38" s="2"/>
      <c r="H38" s="7">
        <v>86.81</v>
      </c>
      <c r="I38" s="2"/>
      <c r="J38" s="6">
        <f t="shared" si="19"/>
        <v>2.9351005020878066E-3</v>
      </c>
      <c r="K38" s="2"/>
      <c r="L38" s="7">
        <f t="shared" si="20"/>
        <v>-57.85</v>
      </c>
      <c r="M38" s="2"/>
      <c r="N38" s="6">
        <f t="shared" si="21"/>
        <v>-0.6663978804285221</v>
      </c>
      <c r="O38" s="11"/>
      <c r="P38" s="7">
        <v>382.08</v>
      </c>
      <c r="Q38" s="2"/>
      <c r="R38" s="6">
        <f t="shared" si="22"/>
        <v>3.1256173744666806E-3</v>
      </c>
      <c r="S38" s="2"/>
      <c r="T38" s="7">
        <v>337.99</v>
      </c>
      <c r="U38" s="2"/>
      <c r="V38" s="6">
        <f t="shared" si="23"/>
        <v>3.2372592360876582E-3</v>
      </c>
      <c r="W38" s="2"/>
      <c r="X38" s="7">
        <f t="shared" si="24"/>
        <v>44.089999999999975</v>
      </c>
      <c r="Y38" s="2"/>
      <c r="Z38" s="6">
        <f t="shared" si="25"/>
        <v>0.13044764638007034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834.08</v>
      </c>
      <c r="E39" s="2"/>
      <c r="F39" s="6">
        <f t="shared" si="18"/>
        <v>3.5823962299969855E-2</v>
      </c>
      <c r="G39" s="2"/>
      <c r="H39" s="7">
        <v>2421.6799999999998</v>
      </c>
      <c r="I39" s="2"/>
      <c r="J39" s="6">
        <f t="shared" si="19"/>
        <v>8.1878518418338889E-2</v>
      </c>
      <c r="K39" s="2"/>
      <c r="L39" s="7">
        <f t="shared" si="20"/>
        <v>-1587.6</v>
      </c>
      <c r="M39" s="2"/>
      <c r="N39" s="6">
        <f t="shared" si="21"/>
        <v>-0.65557794588880447</v>
      </c>
      <c r="O39" s="11"/>
      <c r="P39" s="7">
        <v>12480.12</v>
      </c>
      <c r="Q39" s="2"/>
      <c r="R39" s="6">
        <f t="shared" si="22"/>
        <v>0.1020940114830117</v>
      </c>
      <c r="S39" s="2"/>
      <c r="T39" s="7">
        <v>12485.89</v>
      </c>
      <c r="U39" s="2"/>
      <c r="V39" s="6">
        <f t="shared" si="23"/>
        <v>0.11958952253994062</v>
      </c>
      <c r="W39" s="2"/>
      <c r="X39" s="7">
        <f t="shared" si="24"/>
        <v>-5.7699999999986176</v>
      </c>
      <c r="Y39" s="2"/>
      <c r="Z39" s="6">
        <f t="shared" si="25"/>
        <v>-4.6212164291040668E-4</v>
      </c>
    </row>
    <row r="40" spans="1:26" s="24" customFormat="1" hidden="1" outlineLevel="2" x14ac:dyDescent="0.3">
      <c r="A40" s="27"/>
      <c r="B40" s="11" t="str">
        <f>CONCATENATE("          ", "6118", " - ", "VACATION")</f>
        <v xml:space="preserve">          6118 - VACATION</v>
      </c>
      <c r="C40" s="11"/>
      <c r="D40" s="7">
        <v>1001.59</v>
      </c>
      <c r="E40" s="2"/>
      <c r="F40" s="6">
        <f t="shared" si="18"/>
        <v>4.301856224825773E-2</v>
      </c>
      <c r="G40" s="2"/>
      <c r="H40" s="7">
        <v>1216.0999999999999</v>
      </c>
      <c r="I40" s="2"/>
      <c r="J40" s="6">
        <f t="shared" si="19"/>
        <v>4.1117103105506064E-2</v>
      </c>
      <c r="K40" s="2"/>
      <c r="L40" s="7">
        <f t="shared" si="20"/>
        <v>-214.50999999999988</v>
      </c>
      <c r="M40" s="2"/>
      <c r="N40" s="6">
        <f t="shared" si="21"/>
        <v>-0.1763917440999917</v>
      </c>
      <c r="O40" s="11"/>
      <c r="P40" s="7">
        <v>6244.15</v>
      </c>
      <c r="Q40" s="2"/>
      <c r="R40" s="6">
        <f t="shared" si="22"/>
        <v>5.1080464114259115E-2</v>
      </c>
      <c r="S40" s="2"/>
      <c r="T40" s="7">
        <v>8883.5300000000007</v>
      </c>
      <c r="U40" s="2"/>
      <c r="V40" s="6">
        <f t="shared" si="23"/>
        <v>8.508621421214177E-2</v>
      </c>
      <c r="W40" s="2"/>
      <c r="X40" s="7">
        <f t="shared" si="24"/>
        <v>-2639.380000000001</v>
      </c>
      <c r="Y40" s="2"/>
      <c r="Z40" s="6">
        <f t="shared" si="25"/>
        <v>-0.29710936981132507</v>
      </c>
    </row>
    <row r="41" spans="1:26" s="24" customFormat="1" hidden="1" outlineLevel="2" x14ac:dyDescent="0.3">
      <c r="A41" s="27"/>
      <c r="B41" s="11" t="str">
        <f>CONCATENATE("          ", "6119", " - ", "SICK LEAVE")</f>
        <v xml:space="preserve">          6119 - SICK LEAVE</v>
      </c>
      <c r="C41" s="11"/>
      <c r="D41" s="7">
        <v>1509.53</v>
      </c>
      <c r="E41" s="2"/>
      <c r="F41" s="6">
        <f t="shared" si="18"/>
        <v>6.4834723060945579E-2</v>
      </c>
      <c r="G41" s="2"/>
      <c r="H41" s="7">
        <v>738.5</v>
      </c>
      <c r="I41" s="2"/>
      <c r="J41" s="6">
        <f t="shared" si="19"/>
        <v>2.4969147803154533E-2</v>
      </c>
      <c r="K41" s="2"/>
      <c r="L41" s="7">
        <f t="shared" si="20"/>
        <v>771.03</v>
      </c>
      <c r="M41" s="2"/>
      <c r="N41" s="6">
        <f t="shared" si="21"/>
        <v>1.0440487474610698</v>
      </c>
      <c r="O41" s="11"/>
      <c r="P41" s="7">
        <v>4964.66</v>
      </c>
      <c r="Q41" s="2"/>
      <c r="R41" s="6">
        <f t="shared" si="22"/>
        <v>4.0613556203726316E-2</v>
      </c>
      <c r="S41" s="2"/>
      <c r="T41" s="7">
        <v>5432.77</v>
      </c>
      <c r="U41" s="2"/>
      <c r="V41" s="6">
        <f t="shared" si="23"/>
        <v>5.2034926654752948E-2</v>
      </c>
      <c r="W41" s="2"/>
      <c r="X41" s="7">
        <f t="shared" si="24"/>
        <v>-468.11000000000058</v>
      </c>
      <c r="Y41" s="2"/>
      <c r="Z41" s="6">
        <f t="shared" si="25"/>
        <v>-8.6164148307401295E-2</v>
      </c>
    </row>
    <row r="42" spans="1:26" s="24" customFormat="1" hidden="1" outlineLevel="2" x14ac:dyDescent="0.3">
      <c r="A42" s="27"/>
      <c r="B42" s="11" t="str">
        <f>CONCATENATE("          ", "6156", " - ", "EMPLOYEE MEALS")</f>
        <v xml:space="preserve">          6156 - EMPLOYEE MEALS</v>
      </c>
      <c r="C42" s="11"/>
      <c r="D42" s="7">
        <v>388.79</v>
      </c>
      <c r="E42" s="2"/>
      <c r="F42" s="6">
        <f t="shared" si="18"/>
        <v>1.6698635985283521E-2</v>
      </c>
      <c r="G42" s="2"/>
      <c r="H42" s="7">
        <v>187.06</v>
      </c>
      <c r="I42" s="2"/>
      <c r="J42" s="6">
        <f t="shared" si="19"/>
        <v>6.3246158267543495E-3</v>
      </c>
      <c r="K42" s="2"/>
      <c r="L42" s="7">
        <f t="shared" si="20"/>
        <v>201.73000000000002</v>
      </c>
      <c r="M42" s="2"/>
      <c r="N42" s="6">
        <f t="shared" si="21"/>
        <v>1.078424035068962</v>
      </c>
      <c r="O42" s="11"/>
      <c r="P42" s="7">
        <v>2980.99</v>
      </c>
      <c r="Q42" s="2"/>
      <c r="R42" s="6">
        <f t="shared" si="22"/>
        <v>2.4386081807766514E-2</v>
      </c>
      <c r="S42" s="2"/>
      <c r="T42" s="7">
        <v>2306.79</v>
      </c>
      <c r="U42" s="2"/>
      <c r="V42" s="6">
        <f t="shared" si="23"/>
        <v>2.2094373304578981E-2</v>
      </c>
      <c r="W42" s="2"/>
      <c r="X42" s="7">
        <f t="shared" si="24"/>
        <v>674.19999999999982</v>
      </c>
      <c r="Y42" s="2"/>
      <c r="Z42" s="6">
        <f t="shared" si="25"/>
        <v>0.29226760996883105</v>
      </c>
    </row>
    <row r="43" spans="1:26" s="29" customFormat="1" outlineLevel="1" collapsed="1" x14ac:dyDescent="0.3">
      <c r="A43" s="28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13111.52</v>
      </c>
      <c r="E43" s="1"/>
      <c r="F43" s="5">
        <f t="shared" ref="F43:F46" si="26">IF(D$12=0,0,D43/D$12)</f>
        <v>0.56314334137648758</v>
      </c>
      <c r="G43" s="1"/>
      <c r="H43" s="1">
        <f>SUM(OSRRefH22_1x_0)</f>
        <v>20840.240000000002</v>
      </c>
      <c r="I43" s="1"/>
      <c r="J43" s="5">
        <f t="shared" ref="J43:J46" si="27">IF(H$12=0,0,H43/H$12)</f>
        <v>0.70462157456088459</v>
      </c>
      <c r="K43" s="1"/>
      <c r="L43" s="1">
        <f t="shared" ref="L43:L46" si="28">+D43-H43</f>
        <v>-7728.7200000000012</v>
      </c>
      <c r="M43" s="1"/>
      <c r="N43" s="5">
        <f t="shared" ref="N43:N46" si="29">IF(H43=0,0,L43/H43)</f>
        <v>-0.37085561394686434</v>
      </c>
      <c r="O43" s="14"/>
      <c r="P43" s="1">
        <f>SUM(OSRRefP22_1x_0)</f>
        <v>101173.1</v>
      </c>
      <c r="Q43" s="1"/>
      <c r="R43" s="5">
        <f t="shared" ref="R43:R46" si="30">IF(P$12=0,0,P43/P$12)</f>
        <v>0.82764970474417643</v>
      </c>
      <c r="S43" s="1"/>
      <c r="T43" s="1">
        <f>SUM(OSRRefT22_1x_0)</f>
        <v>108103.56999999999</v>
      </c>
      <c r="U43" s="1"/>
      <c r="V43" s="5">
        <f t="shared" ref="V43:V46" si="31">IF(T$12=0,0,T43/T$12)</f>
        <v>1.0354131200229257</v>
      </c>
      <c r="W43" s="1"/>
      <c r="X43" s="1">
        <f t="shared" ref="X43:X46" si="32">+P43-T43</f>
        <v>-6930.4699999999866</v>
      </c>
      <c r="Y43" s="1"/>
      <c r="Z43" s="5">
        <f t="shared" ref="Z43:Z46" si="33">IF(T43=0,0,X43/T43)</f>
        <v>-6.410953865815891E-2</v>
      </c>
    </row>
    <row r="44" spans="1:26" s="24" customFormat="1" hidden="1" outlineLevel="2" x14ac:dyDescent="0.3">
      <c r="A44" s="27"/>
      <c r="B44" s="11" t="str">
        <f>CONCATENATE("          ", "6002", " - ", "STAFF SALARIES")</f>
        <v xml:space="preserve">          6002 - STAFF SALARIES</v>
      </c>
      <c r="C44" s="11"/>
      <c r="D44" s="7">
        <v>10145.64</v>
      </c>
      <c r="E44" s="2"/>
      <c r="F44" s="6">
        <f t="shared" si="26"/>
        <v>0.43575799068322718</v>
      </c>
      <c r="G44" s="2"/>
      <c r="H44" s="7">
        <v>19715.72</v>
      </c>
      <c r="I44" s="2"/>
      <c r="J44" s="6">
        <f t="shared" si="27"/>
        <v>0.66660084864672975</v>
      </c>
      <c r="K44" s="2"/>
      <c r="L44" s="7">
        <f t="shared" si="28"/>
        <v>-9570.0800000000017</v>
      </c>
      <c r="M44" s="2"/>
      <c r="N44" s="6">
        <f t="shared" si="29"/>
        <v>-0.48540352571450607</v>
      </c>
      <c r="O44" s="11"/>
      <c r="P44" s="7">
        <v>84169.81</v>
      </c>
      <c r="Q44" s="2"/>
      <c r="R44" s="6">
        <f t="shared" si="30"/>
        <v>0.68855375979260713</v>
      </c>
      <c r="S44" s="2"/>
      <c r="T44" s="7">
        <v>102746.43</v>
      </c>
      <c r="U44" s="2"/>
      <c r="V44" s="6">
        <f t="shared" si="31"/>
        <v>0.98410257549789648</v>
      </c>
      <c r="W44" s="2"/>
      <c r="X44" s="7">
        <f t="shared" si="32"/>
        <v>-18576.619999999995</v>
      </c>
      <c r="Y44" s="2"/>
      <c r="Z44" s="6">
        <f t="shared" si="33"/>
        <v>-0.18080063706349697</v>
      </c>
    </row>
    <row r="45" spans="1:26" s="24" customFormat="1" hidden="1" outlineLevel="2" x14ac:dyDescent="0.3">
      <c r="A45" s="27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6"/>
        <v>0</v>
      </c>
      <c r="G45" s="2"/>
      <c r="H45" s="7"/>
      <c r="I45" s="2"/>
      <c r="J45" s="6">
        <f t="shared" si="27"/>
        <v>0</v>
      </c>
      <c r="K45" s="2"/>
      <c r="L45" s="7">
        <f t="shared" si="28"/>
        <v>0</v>
      </c>
      <c r="M45" s="2"/>
      <c r="N45" s="6">
        <f t="shared" si="29"/>
        <v>0</v>
      </c>
      <c r="O45" s="11"/>
      <c r="P45" s="7"/>
      <c r="Q45" s="2"/>
      <c r="R45" s="6">
        <f t="shared" si="30"/>
        <v>0</v>
      </c>
      <c r="S45" s="2"/>
      <c r="T45" s="7">
        <v>383.25</v>
      </c>
      <c r="U45" s="2"/>
      <c r="V45" s="6">
        <f t="shared" si="31"/>
        <v>3.6707583130583597E-3</v>
      </c>
      <c r="W45" s="2"/>
      <c r="X45" s="7">
        <f t="shared" si="32"/>
        <v>-383.25</v>
      </c>
      <c r="Y45" s="2"/>
      <c r="Z45" s="6">
        <f t="shared" si="33"/>
        <v>-1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7">
        <v>2965.88</v>
      </c>
      <c r="E46" s="2"/>
      <c r="F46" s="6">
        <f t="shared" si="26"/>
        <v>0.12738535069326035</v>
      </c>
      <c r="G46" s="2"/>
      <c r="H46" s="7">
        <v>1124.52</v>
      </c>
      <c r="I46" s="2"/>
      <c r="J46" s="6">
        <f t="shared" si="27"/>
        <v>3.802072591415482E-2</v>
      </c>
      <c r="K46" s="2"/>
      <c r="L46" s="7">
        <f t="shared" si="28"/>
        <v>1841.3600000000001</v>
      </c>
      <c r="M46" s="2"/>
      <c r="N46" s="6">
        <f t="shared" si="29"/>
        <v>1.6374630953651337</v>
      </c>
      <c r="O46" s="11"/>
      <c r="P46" s="7">
        <v>17003.29</v>
      </c>
      <c r="Q46" s="2"/>
      <c r="R46" s="6">
        <f t="shared" si="30"/>
        <v>0.13909594495156921</v>
      </c>
      <c r="S46" s="2"/>
      <c r="T46" s="7">
        <v>4973.8900000000003</v>
      </c>
      <c r="U46" s="2"/>
      <c r="V46" s="6">
        <f t="shared" si="31"/>
        <v>4.7639786211970896E-2</v>
      </c>
      <c r="W46" s="2"/>
      <c r="X46" s="7">
        <f t="shared" si="32"/>
        <v>12029.400000000001</v>
      </c>
      <c r="Y46" s="2"/>
      <c r="Z46" s="6">
        <f t="shared" si="33"/>
        <v>2.4185094563812228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44.1</v>
      </c>
      <c r="E47" s="1"/>
      <c r="F47" s="5">
        <f t="shared" ref="F47:F57" si="34">IF(D$12=0,0,D47/D$12)</f>
        <v>1.8941069650736987E-3</v>
      </c>
      <c r="G47" s="1"/>
      <c r="H47" s="1">
        <f>SUM(OSRRefH22_2x_0)</f>
        <v>0</v>
      </c>
      <c r="I47" s="1"/>
      <c r="J47" s="5">
        <f t="shared" ref="J47:J57" si="35">IF(H$12=0,0,H47/H$12)</f>
        <v>0</v>
      </c>
      <c r="K47" s="1"/>
      <c r="L47" s="1">
        <f t="shared" ref="L47:L57" si="36">+D47-H47</f>
        <v>44.1</v>
      </c>
      <c r="M47" s="1"/>
      <c r="N47" s="5">
        <f t="shared" ref="N47:N57" si="37">IF(H47=0,0,L47/H47)</f>
        <v>0</v>
      </c>
      <c r="O47" s="14"/>
      <c r="P47" s="1">
        <f>SUM(OSRRefP22_2x_0)</f>
        <v>141.85</v>
      </c>
      <c r="Q47" s="1"/>
      <c r="R47" s="5">
        <f t="shared" ref="R47:R57" si="38">IF(P$12=0,0,P47/P$12)</f>
        <v>1.1604083557582145E-3</v>
      </c>
      <c r="S47" s="1"/>
      <c r="T47" s="1">
        <f>SUM(OSRRefT22_2x_0)</f>
        <v>0</v>
      </c>
      <c r="U47" s="1"/>
      <c r="V47" s="5">
        <f t="shared" ref="V47:V57" si="39">IF(T$12=0,0,T47/T$12)</f>
        <v>0</v>
      </c>
      <c r="W47" s="1"/>
      <c r="X47" s="1">
        <f t="shared" ref="X47:X57" si="40">+P47-T47</f>
        <v>141.85</v>
      </c>
      <c r="Y47" s="1"/>
      <c r="Z47" s="5">
        <f t="shared" ref="Z47:Z57" si="41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44.1</v>
      </c>
      <c r="E48" s="2"/>
      <c r="F48" s="6">
        <f t="shared" si="34"/>
        <v>1.8941069650736987E-3</v>
      </c>
      <c r="G48" s="2"/>
      <c r="H48" s="7"/>
      <c r="I48" s="2"/>
      <c r="J48" s="6">
        <f t="shared" si="35"/>
        <v>0</v>
      </c>
      <c r="K48" s="2"/>
      <c r="L48" s="7">
        <f t="shared" si="36"/>
        <v>44.1</v>
      </c>
      <c r="M48" s="2"/>
      <c r="N48" s="6">
        <f t="shared" si="37"/>
        <v>0</v>
      </c>
      <c r="O48" s="11"/>
      <c r="P48" s="7">
        <v>141.85</v>
      </c>
      <c r="Q48" s="2"/>
      <c r="R48" s="6">
        <f t="shared" si="38"/>
        <v>1.1604083557582145E-3</v>
      </c>
      <c r="S48" s="2"/>
      <c r="T48" s="7"/>
      <c r="U48" s="2"/>
      <c r="V48" s="6">
        <f t="shared" si="39"/>
        <v>0</v>
      </c>
      <c r="W48" s="2"/>
      <c r="X48" s="7">
        <f t="shared" si="40"/>
        <v>141.85</v>
      </c>
      <c r="Y48" s="2"/>
      <c r="Z48" s="6">
        <f t="shared" si="41"/>
        <v>0</v>
      </c>
    </row>
    <row r="49" spans="1:26" s="29" customFormat="1" outlineLevel="1" collapsed="1" x14ac:dyDescent="0.3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4"/>
        <v>7.2963920913088412E-3</v>
      </c>
      <c r="G49" s="1"/>
      <c r="H49" s="1">
        <f>SUM(OSRRefH22_3x_0)</f>
        <v>169.88</v>
      </c>
      <c r="I49" s="1"/>
      <c r="J49" s="5">
        <f t="shared" si="35"/>
        <v>5.743749260392542E-3</v>
      </c>
      <c r="K49" s="1"/>
      <c r="L49" s="1">
        <f t="shared" si="36"/>
        <v>0</v>
      </c>
      <c r="M49" s="1"/>
      <c r="N49" s="5">
        <f t="shared" si="37"/>
        <v>0</v>
      </c>
      <c r="O49" s="14"/>
      <c r="P49" s="1">
        <f>SUM(OSRRefP22_3x_0)</f>
        <v>1189.1600000000001</v>
      </c>
      <c r="Q49" s="1"/>
      <c r="R49" s="5">
        <f t="shared" si="38"/>
        <v>9.7279605240284707E-3</v>
      </c>
      <c r="S49" s="1"/>
      <c r="T49" s="1">
        <f>SUM(OSRRefT22_3x_0)</f>
        <v>1189.1600000000001</v>
      </c>
      <c r="U49" s="1"/>
      <c r="V49" s="5">
        <f t="shared" si="39"/>
        <v>1.1389742871641174E-2</v>
      </c>
      <c r="W49" s="1"/>
      <c r="X49" s="1">
        <f t="shared" si="40"/>
        <v>0</v>
      </c>
      <c r="Y49" s="1"/>
      <c r="Z49" s="5">
        <f t="shared" si="41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169.88</v>
      </c>
      <c r="E50" s="2"/>
      <c r="F50" s="6">
        <f t="shared" si="34"/>
        <v>7.2963920913088412E-3</v>
      </c>
      <c r="G50" s="2"/>
      <c r="H50" s="7">
        <v>169.88</v>
      </c>
      <c r="I50" s="2"/>
      <c r="J50" s="6">
        <f t="shared" si="35"/>
        <v>5.743749260392542E-3</v>
      </c>
      <c r="K50" s="2"/>
      <c r="L50" s="7">
        <f t="shared" si="36"/>
        <v>0</v>
      </c>
      <c r="M50" s="2"/>
      <c r="N50" s="6">
        <f t="shared" si="37"/>
        <v>0</v>
      </c>
      <c r="O50" s="11"/>
      <c r="P50" s="7">
        <v>1189.1600000000001</v>
      </c>
      <c r="Q50" s="2"/>
      <c r="R50" s="6">
        <f t="shared" si="38"/>
        <v>9.7279605240284707E-3</v>
      </c>
      <c r="S50" s="2"/>
      <c r="T50" s="7">
        <v>1189.1600000000001</v>
      </c>
      <c r="U50" s="2"/>
      <c r="V50" s="6">
        <f t="shared" si="39"/>
        <v>1.1389742871641174E-2</v>
      </c>
      <c r="W50" s="2"/>
      <c r="X50" s="7">
        <f t="shared" si="40"/>
        <v>0</v>
      </c>
      <c r="Y50" s="2"/>
      <c r="Z50" s="6">
        <f t="shared" si="41"/>
        <v>0</v>
      </c>
    </row>
    <row r="51" spans="1:26" s="29" customFormat="1" outlineLevel="1" collapsed="1" x14ac:dyDescent="0.3">
      <c r="A51" s="28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SUM(OSRRefD22_4x_0)</f>
        <v>0</v>
      </c>
      <c r="E51" s="1"/>
      <c r="F51" s="5">
        <f t="shared" si="34"/>
        <v>0</v>
      </c>
      <c r="G51" s="1"/>
      <c r="H51" s="1">
        <f>SUM(OSRRefH22_4x_0)</f>
        <v>0</v>
      </c>
      <c r="I51" s="1"/>
      <c r="J51" s="5">
        <f t="shared" si="35"/>
        <v>0</v>
      </c>
      <c r="K51" s="1"/>
      <c r="L51" s="1">
        <f t="shared" si="36"/>
        <v>0</v>
      </c>
      <c r="M51" s="1"/>
      <c r="N51" s="5">
        <f t="shared" si="37"/>
        <v>0</v>
      </c>
      <c r="O51" s="14"/>
      <c r="P51" s="1">
        <f>SUM(OSRRefP22_4x_0)</f>
        <v>0</v>
      </c>
      <c r="Q51" s="1"/>
      <c r="R51" s="5">
        <f t="shared" si="38"/>
        <v>0</v>
      </c>
      <c r="S51" s="1"/>
      <c r="T51" s="1">
        <f>SUM(OSRRefT22_4x_0)</f>
        <v>0</v>
      </c>
      <c r="U51" s="1"/>
      <c r="V51" s="5">
        <f t="shared" si="39"/>
        <v>0</v>
      </c>
      <c r="W51" s="1"/>
      <c r="X51" s="1">
        <f t="shared" si="40"/>
        <v>0</v>
      </c>
      <c r="Y51" s="1"/>
      <c r="Z51" s="5">
        <f t="shared" si="41"/>
        <v>0</v>
      </c>
    </row>
    <row r="52" spans="1:26" s="24" customFormat="1" hidden="1" outlineLevel="2" x14ac:dyDescent="0.3">
      <c r="A52" s="27"/>
      <c r="B52" s="11" t="str">
        <f>CONCATENATE("          ", "6382", " - ", "DISCOUNTS/MARK DOWNS")</f>
        <v xml:space="preserve">          6382 - DISCOUNTS/MARK DOWNS</v>
      </c>
      <c r="C52" s="11"/>
      <c r="D52" s="7"/>
      <c r="E52" s="2"/>
      <c r="F52" s="6">
        <f t="shared" si="34"/>
        <v>0</v>
      </c>
      <c r="G52" s="2"/>
      <c r="H52" s="7">
        <v>0</v>
      </c>
      <c r="I52" s="2"/>
      <c r="J52" s="6">
        <f t="shared" si="35"/>
        <v>0</v>
      </c>
      <c r="K52" s="2"/>
      <c r="L52" s="7">
        <f t="shared" si="36"/>
        <v>0</v>
      </c>
      <c r="M52" s="2"/>
      <c r="N52" s="6">
        <f t="shared" si="37"/>
        <v>0</v>
      </c>
      <c r="O52" s="11"/>
      <c r="P52" s="7"/>
      <c r="Q52" s="2"/>
      <c r="R52" s="6">
        <f t="shared" si="38"/>
        <v>0</v>
      </c>
      <c r="S52" s="2"/>
      <c r="T52" s="7">
        <v>0</v>
      </c>
      <c r="U52" s="2"/>
      <c r="V52" s="6">
        <f t="shared" si="39"/>
        <v>0</v>
      </c>
      <c r="W52" s="2"/>
      <c r="X52" s="7">
        <f t="shared" si="40"/>
        <v>0</v>
      </c>
      <c r="Y52" s="2"/>
      <c r="Z52" s="6">
        <f t="shared" si="41"/>
        <v>0</v>
      </c>
    </row>
    <row r="53" spans="1:26" s="29" customFormat="1" outlineLevel="1" collapsed="1" x14ac:dyDescent="0.3">
      <c r="A53" s="28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SUM(OSRRefD22_5x_0)</f>
        <v>1296.9000000000001</v>
      </c>
      <c r="E53" s="1"/>
      <c r="F53" s="5">
        <f t="shared" si="34"/>
        <v>5.5702206870840813E-2</v>
      </c>
      <c r="G53" s="1"/>
      <c r="H53" s="1">
        <f>SUM(OSRRefH22_5x_0)</f>
        <v>1205.6400000000001</v>
      </c>
      <c r="I53" s="1"/>
      <c r="J53" s="5">
        <f t="shared" si="35"/>
        <v>4.0763443950433631E-2</v>
      </c>
      <c r="K53" s="1"/>
      <c r="L53" s="1">
        <f t="shared" si="36"/>
        <v>91.259999999999991</v>
      </c>
      <c r="M53" s="1"/>
      <c r="N53" s="5">
        <f t="shared" si="37"/>
        <v>7.5694237085697211E-2</v>
      </c>
      <c r="O53" s="14"/>
      <c r="P53" s="1">
        <f>SUM(OSRRefP22_5x_0)</f>
        <v>8530.74</v>
      </c>
      <c r="Q53" s="1"/>
      <c r="R53" s="5">
        <f t="shared" si="38"/>
        <v>6.9785985032081999E-2</v>
      </c>
      <c r="S53" s="1"/>
      <c r="T53" s="1">
        <f>SUM(OSRRefT22_5x_0)</f>
        <v>8439.48</v>
      </c>
      <c r="U53" s="1"/>
      <c r="V53" s="5">
        <f t="shared" si="39"/>
        <v>8.0833115115172258E-2</v>
      </c>
      <c r="W53" s="1"/>
      <c r="X53" s="1">
        <f t="shared" si="40"/>
        <v>91.260000000000218</v>
      </c>
      <c r="Y53" s="1"/>
      <c r="Z53" s="5">
        <f t="shared" si="41"/>
        <v>1.0813462440813916E-2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1296.9000000000001</v>
      </c>
      <c r="E54" s="2"/>
      <c r="F54" s="6">
        <f t="shared" si="34"/>
        <v>5.5702206870840813E-2</v>
      </c>
      <c r="G54" s="2"/>
      <c r="H54" s="7">
        <v>1205.6400000000001</v>
      </c>
      <c r="I54" s="2"/>
      <c r="J54" s="6">
        <f t="shared" si="35"/>
        <v>4.0763443950433631E-2</v>
      </c>
      <c r="K54" s="2"/>
      <c r="L54" s="7">
        <f t="shared" si="36"/>
        <v>91.259999999999991</v>
      </c>
      <c r="M54" s="2"/>
      <c r="N54" s="6">
        <f t="shared" si="37"/>
        <v>7.5694237085697211E-2</v>
      </c>
      <c r="O54" s="11"/>
      <c r="P54" s="7">
        <v>8530.74</v>
      </c>
      <c r="Q54" s="2"/>
      <c r="R54" s="6">
        <f t="shared" si="38"/>
        <v>6.9785985032081999E-2</v>
      </c>
      <c r="S54" s="2"/>
      <c r="T54" s="7">
        <v>8439.48</v>
      </c>
      <c r="U54" s="2"/>
      <c r="V54" s="6">
        <f t="shared" si="39"/>
        <v>8.0833115115172258E-2</v>
      </c>
      <c r="W54" s="2"/>
      <c r="X54" s="7">
        <f t="shared" si="40"/>
        <v>91.260000000000218</v>
      </c>
      <c r="Y54" s="2"/>
      <c r="Z54" s="6">
        <f t="shared" si="41"/>
        <v>1.0813462440813916E-2</v>
      </c>
    </row>
    <row r="55" spans="1:26" s="29" customFormat="1" outlineLevel="1" collapsed="1" x14ac:dyDescent="0.3">
      <c r="A55" s="28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SUM(OSRRefD22_6x_0)</f>
        <v>-10138.209999999999</v>
      </c>
      <c r="E55" s="1"/>
      <c r="F55" s="5">
        <f t="shared" si="34"/>
        <v>-0.43543887016734284</v>
      </c>
      <c r="G55" s="1"/>
      <c r="H55" s="1">
        <f>SUM(OSRRefH22_6x_0)</f>
        <v>-23491.679999999997</v>
      </c>
      <c r="I55" s="1"/>
      <c r="J55" s="5">
        <f t="shared" si="35"/>
        <v>-0.79426842256521224</v>
      </c>
      <c r="K55" s="1"/>
      <c r="L55" s="1">
        <f t="shared" si="36"/>
        <v>13353.469999999998</v>
      </c>
      <c r="M55" s="1"/>
      <c r="N55" s="5">
        <f t="shared" si="37"/>
        <v>-0.56843401578771713</v>
      </c>
      <c r="O55" s="14"/>
      <c r="P55" s="1">
        <f>SUM(OSRRefP22_6x_0)</f>
        <v>-57286.23000000001</v>
      </c>
      <c r="Q55" s="1"/>
      <c r="R55" s="5">
        <f t="shared" si="38"/>
        <v>-0.46863179388006287</v>
      </c>
      <c r="S55" s="1"/>
      <c r="T55" s="1">
        <f>SUM(OSRRefT22_6x_0)</f>
        <v>-48225.560000000012</v>
      </c>
      <c r="U55" s="1"/>
      <c r="V55" s="5">
        <f t="shared" si="39"/>
        <v>-0.46190313182490478</v>
      </c>
      <c r="W55" s="1"/>
      <c r="X55" s="1">
        <f t="shared" si="40"/>
        <v>-9060.6699999999983</v>
      </c>
      <c r="Y55" s="1"/>
      <c r="Z55" s="5">
        <f t="shared" si="41"/>
        <v>0.18788107385378203</v>
      </c>
    </row>
    <row r="56" spans="1:26" s="24" customFormat="1" hidden="1" outlineLevel="2" x14ac:dyDescent="0.3">
      <c r="A56" s="27"/>
      <c r="B56" s="11" t="str">
        <f>CONCATENATE("          ", "6305", " - ", "FREIGHT OUT")</f>
        <v xml:space="preserve">          6305 - FREIGHT OUT</v>
      </c>
      <c r="C56" s="11"/>
      <c r="D56" s="7">
        <v>14906.39</v>
      </c>
      <c r="E56" s="2"/>
      <c r="F56" s="6">
        <f t="shared" si="34"/>
        <v>0.64023349485498704</v>
      </c>
      <c r="G56" s="2"/>
      <c r="H56" s="7">
        <v>18016.990000000002</v>
      </c>
      <c r="I56" s="2"/>
      <c r="J56" s="6">
        <f t="shared" si="35"/>
        <v>0.60916572278667203</v>
      </c>
      <c r="K56" s="2"/>
      <c r="L56" s="7">
        <f t="shared" si="36"/>
        <v>-3110.6000000000022</v>
      </c>
      <c r="M56" s="2"/>
      <c r="N56" s="6">
        <f t="shared" si="37"/>
        <v>-0.17264815044022347</v>
      </c>
      <c r="O56" s="11"/>
      <c r="P56" s="7">
        <v>87621</v>
      </c>
      <c r="Q56" s="2"/>
      <c r="R56" s="6">
        <f t="shared" si="38"/>
        <v>0.71678632738731418</v>
      </c>
      <c r="S56" s="2"/>
      <c r="T56" s="7">
        <v>126079.23</v>
      </c>
      <c r="U56" s="2"/>
      <c r="V56" s="6">
        <f t="shared" si="39"/>
        <v>1.2075835137025361</v>
      </c>
      <c r="W56" s="2"/>
      <c r="X56" s="7">
        <f t="shared" si="40"/>
        <v>-38458.229999999996</v>
      </c>
      <c r="Y56" s="2"/>
      <c r="Z56" s="6">
        <f t="shared" si="41"/>
        <v>-0.30503224044118921</v>
      </c>
    </row>
    <row r="57" spans="1:26" s="24" customFormat="1" hidden="1" outlineLevel="2" x14ac:dyDescent="0.3">
      <c r="A57" s="27"/>
      <c r="B57" s="11" t="str">
        <f>CONCATENATE("          ", "6307", " - ", "POSTAGE")</f>
        <v xml:space="preserve">          6307 - POSTAGE</v>
      </c>
      <c r="C57" s="11"/>
      <c r="D57" s="7">
        <v>-25044.6</v>
      </c>
      <c r="E57" s="2"/>
      <c r="F57" s="6">
        <f t="shared" si="34"/>
        <v>-1.0756723650223299</v>
      </c>
      <c r="G57" s="2"/>
      <c r="H57" s="7">
        <v>-41508.67</v>
      </c>
      <c r="I57" s="2"/>
      <c r="J57" s="6">
        <f t="shared" si="35"/>
        <v>-1.4034341453518842</v>
      </c>
      <c r="K57" s="2"/>
      <c r="L57" s="7">
        <f t="shared" si="36"/>
        <v>16464.07</v>
      </c>
      <c r="M57" s="2"/>
      <c r="N57" s="6">
        <f t="shared" si="37"/>
        <v>-0.39664171364681161</v>
      </c>
      <c r="O57" s="11"/>
      <c r="P57" s="7">
        <v>-144907.23000000001</v>
      </c>
      <c r="Q57" s="2"/>
      <c r="R57" s="6">
        <f t="shared" si="38"/>
        <v>-1.1854181212673771</v>
      </c>
      <c r="S57" s="2"/>
      <c r="T57" s="7">
        <v>-174304.79</v>
      </c>
      <c r="U57" s="2"/>
      <c r="V57" s="6">
        <f t="shared" si="39"/>
        <v>-1.6694866455274409</v>
      </c>
      <c r="W57" s="2"/>
      <c r="X57" s="7">
        <f t="shared" si="40"/>
        <v>29397.559999999998</v>
      </c>
      <c r="Y57" s="2"/>
      <c r="Z57" s="6">
        <f t="shared" si="41"/>
        <v>-0.16865606504560199</v>
      </c>
    </row>
    <row r="58" spans="1:26" s="29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ref="F58:F63" si="42">IF(D$12=0,0,D58/D$12)</f>
        <v>0</v>
      </c>
      <c r="G58" s="1"/>
      <c r="H58" s="1">
        <f>SUM(OSRRefH22_7x_0)</f>
        <v>0</v>
      </c>
      <c r="I58" s="1"/>
      <c r="J58" s="5">
        <f t="shared" ref="J58:J63" si="43">IF(H$12=0,0,H58/H$12)</f>
        <v>0</v>
      </c>
      <c r="K58" s="1"/>
      <c r="L58" s="1">
        <f t="shared" ref="L58:L63" si="44">+D58-H58</f>
        <v>0</v>
      </c>
      <c r="M58" s="1"/>
      <c r="N58" s="5">
        <f t="shared" ref="N58:N63" si="45">IF(H58=0,0,L58/H58)</f>
        <v>0</v>
      </c>
      <c r="O58" s="14"/>
      <c r="P58" s="1">
        <f>SUM(OSRRefP22_7x_0)</f>
        <v>91.31</v>
      </c>
      <c r="Q58" s="1"/>
      <c r="R58" s="5">
        <f t="shared" ref="R58:R63" si="46">IF(P$12=0,0,P58/P$12)</f>
        <v>7.4696430711513977E-4</v>
      </c>
      <c r="S58" s="1"/>
      <c r="T58" s="1">
        <f>SUM(OSRRefT22_7x_0)</f>
        <v>0</v>
      </c>
      <c r="U58" s="1"/>
      <c r="V58" s="5">
        <f t="shared" ref="V58:V63" si="47">IF(T$12=0,0,T58/T$12)</f>
        <v>0</v>
      </c>
      <c r="W58" s="1"/>
      <c r="X58" s="1">
        <f t="shared" ref="X58:X63" si="48">+P58-T58</f>
        <v>91.31</v>
      </c>
      <c r="Y58" s="1"/>
      <c r="Z58" s="5">
        <f t="shared" ref="Z58:Z63" si="49">IF(T58=0,0,X58/T58)</f>
        <v>0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42"/>
        <v>0</v>
      </c>
      <c r="G59" s="2"/>
      <c r="H59" s="7"/>
      <c r="I59" s="2"/>
      <c r="J59" s="6">
        <f t="shared" si="43"/>
        <v>0</v>
      </c>
      <c r="K59" s="2"/>
      <c r="L59" s="7">
        <f t="shared" si="44"/>
        <v>0</v>
      </c>
      <c r="M59" s="2"/>
      <c r="N59" s="6">
        <f t="shared" si="45"/>
        <v>0</v>
      </c>
      <c r="O59" s="11"/>
      <c r="P59" s="7">
        <v>91.31</v>
      </c>
      <c r="Q59" s="2"/>
      <c r="R59" s="6">
        <f t="shared" si="46"/>
        <v>7.4696430711513977E-4</v>
      </c>
      <c r="S59" s="2"/>
      <c r="T59" s="7"/>
      <c r="U59" s="2"/>
      <c r="V59" s="6">
        <f t="shared" si="47"/>
        <v>0</v>
      </c>
      <c r="W59" s="2"/>
      <c r="X59" s="7">
        <f t="shared" si="48"/>
        <v>91.31</v>
      </c>
      <c r="Y59" s="2"/>
      <c r="Z59" s="6">
        <f t="shared" si="49"/>
        <v>0</v>
      </c>
    </row>
    <row r="60" spans="1:26" s="29" customFormat="1" outlineLevel="1" collapsed="1" x14ac:dyDescent="0.3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SUM(OSRRefD22_8x_0)</f>
        <v>7510.08</v>
      </c>
      <c r="E60" s="1"/>
      <c r="F60" s="5">
        <f t="shared" si="42"/>
        <v>0.3225599736113533</v>
      </c>
      <c r="G60" s="1"/>
      <c r="H60" s="1">
        <f>SUM(OSRRefH22_8x_0)</f>
        <v>1053.08</v>
      </c>
      <c r="I60" s="1"/>
      <c r="J60" s="5">
        <f t="shared" si="43"/>
        <v>3.5605294744138087E-2</v>
      </c>
      <c r="K60" s="1"/>
      <c r="L60" s="1">
        <f t="shared" si="44"/>
        <v>6457</v>
      </c>
      <c r="M60" s="1"/>
      <c r="N60" s="5">
        <f t="shared" si="45"/>
        <v>6.1315379648269843</v>
      </c>
      <c r="O60" s="14"/>
      <c r="P60" s="1">
        <f>SUM(OSRRefP22_8x_0)</f>
        <v>20738.830000000002</v>
      </c>
      <c r="Q60" s="1"/>
      <c r="R60" s="5">
        <f t="shared" si="46"/>
        <v>0.16965464660309579</v>
      </c>
      <c r="S60" s="1"/>
      <c r="T60" s="1">
        <f>SUM(OSRRefT22_8x_0)</f>
        <v>30432.59</v>
      </c>
      <c r="U60" s="1"/>
      <c r="V60" s="5">
        <f t="shared" si="47"/>
        <v>0.29148253810931951</v>
      </c>
      <c r="W60" s="1"/>
      <c r="X60" s="1">
        <f t="shared" si="48"/>
        <v>-9693.7599999999984</v>
      </c>
      <c r="Y60" s="1"/>
      <c r="Z60" s="5">
        <f t="shared" si="49"/>
        <v>-0.31853220511300545</v>
      </c>
    </row>
    <row r="61" spans="1:26" s="24" customFormat="1" hidden="1" outlineLevel="2" x14ac:dyDescent="0.3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42"/>
        <v>0</v>
      </c>
      <c r="G61" s="2"/>
      <c r="H61" s="7"/>
      <c r="I61" s="2"/>
      <c r="J61" s="6">
        <f t="shared" si="43"/>
        <v>0</v>
      </c>
      <c r="K61" s="2"/>
      <c r="L61" s="7">
        <f t="shared" si="44"/>
        <v>0</v>
      </c>
      <c r="M61" s="2"/>
      <c r="N61" s="6">
        <f t="shared" si="45"/>
        <v>0</v>
      </c>
      <c r="O61" s="11"/>
      <c r="P61" s="7"/>
      <c r="Q61" s="2"/>
      <c r="R61" s="6">
        <f t="shared" si="46"/>
        <v>0</v>
      </c>
      <c r="S61" s="2"/>
      <c r="T61" s="7">
        <v>7.69</v>
      </c>
      <c r="U61" s="2"/>
      <c r="V61" s="6">
        <f t="shared" si="47"/>
        <v>7.365461559665698E-5</v>
      </c>
      <c r="W61" s="2"/>
      <c r="X61" s="7">
        <f t="shared" si="48"/>
        <v>-7.69</v>
      </c>
      <c r="Y61" s="2"/>
      <c r="Z61" s="6">
        <f t="shared" si="49"/>
        <v>-1</v>
      </c>
    </row>
    <row r="62" spans="1:26" s="24" customFormat="1" hidden="1" outlineLevel="2" x14ac:dyDescent="0.3">
      <c r="A62" s="27"/>
      <c r="B62" s="11" t="str">
        <f>CONCATENATE("          ", "6373", " - ", "MAINTENANCE CONTRACTS")</f>
        <v xml:space="preserve">          6373 - MAINTENANCE CONTRACTS</v>
      </c>
      <c r="C62" s="11"/>
      <c r="D62" s="7">
        <v>1433.04</v>
      </c>
      <c r="E62" s="2"/>
      <c r="F62" s="6">
        <f t="shared" si="42"/>
        <v>6.1549456807918658E-2</v>
      </c>
      <c r="G62" s="2"/>
      <c r="H62" s="7">
        <v>1053.08</v>
      </c>
      <c r="I62" s="2"/>
      <c r="J62" s="6">
        <f t="shared" si="43"/>
        <v>3.5605294744138087E-2</v>
      </c>
      <c r="K62" s="2"/>
      <c r="L62" s="7">
        <f t="shared" si="44"/>
        <v>379.96000000000004</v>
      </c>
      <c r="M62" s="2"/>
      <c r="N62" s="6">
        <f t="shared" si="45"/>
        <v>0.36080829566604633</v>
      </c>
      <c r="O62" s="11"/>
      <c r="P62" s="7">
        <v>6764.18</v>
      </c>
      <c r="Q62" s="2"/>
      <c r="R62" s="6">
        <f t="shared" si="46"/>
        <v>5.5334585772665493E-2</v>
      </c>
      <c r="S62" s="2"/>
      <c r="T62" s="7">
        <v>30424.9</v>
      </c>
      <c r="U62" s="2"/>
      <c r="V62" s="6">
        <f t="shared" si="47"/>
        <v>0.2914088834937229</v>
      </c>
      <c r="W62" s="2"/>
      <c r="X62" s="7">
        <f t="shared" si="48"/>
        <v>-23660.720000000001</v>
      </c>
      <c r="Y62" s="2"/>
      <c r="Z62" s="6">
        <f t="shared" si="49"/>
        <v>-0.77767617970806802</v>
      </c>
    </row>
    <row r="63" spans="1:26" s="24" customFormat="1" hidden="1" outlineLevel="2" x14ac:dyDescent="0.3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6077.04</v>
      </c>
      <c r="E63" s="2"/>
      <c r="F63" s="6">
        <f t="shared" si="42"/>
        <v>0.26101051680343468</v>
      </c>
      <c r="G63" s="2"/>
      <c r="H63" s="7"/>
      <c r="I63" s="2"/>
      <c r="J63" s="6">
        <f t="shared" si="43"/>
        <v>0</v>
      </c>
      <c r="K63" s="2"/>
      <c r="L63" s="7">
        <f t="shared" si="44"/>
        <v>6077.04</v>
      </c>
      <c r="M63" s="2"/>
      <c r="N63" s="6">
        <f t="shared" si="45"/>
        <v>0</v>
      </c>
      <c r="O63" s="11"/>
      <c r="P63" s="7">
        <v>13974.65</v>
      </c>
      <c r="Q63" s="2"/>
      <c r="R63" s="6">
        <f t="shared" si="46"/>
        <v>0.11432006083043027</v>
      </c>
      <c r="S63" s="2"/>
      <c r="T63" s="7"/>
      <c r="U63" s="2"/>
      <c r="V63" s="6">
        <f t="shared" si="47"/>
        <v>0</v>
      </c>
      <c r="W63" s="2"/>
      <c r="X63" s="7">
        <f t="shared" si="48"/>
        <v>13974.65</v>
      </c>
      <c r="Y63" s="2"/>
      <c r="Z63" s="6">
        <f t="shared" si="49"/>
        <v>0</v>
      </c>
    </row>
    <row r="64" spans="1:26" s="29" customFormat="1" outlineLevel="1" collapsed="1" x14ac:dyDescent="0.3">
      <c r="A64" s="28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SUM(OSRRefD22_9x_0)</f>
        <v>254.44</v>
      </c>
      <c r="E64" s="1"/>
      <c r="F64" s="5">
        <f t="shared" ref="F64:F71" si="50">IF(D$12=0,0,D64/D$12)</f>
        <v>1.0928267033862854E-2</v>
      </c>
      <c r="G64" s="1"/>
      <c r="H64" s="1">
        <f>SUM(OSRRefH22_9x_0)</f>
        <v>3.81</v>
      </c>
      <c r="I64" s="1"/>
      <c r="J64" s="5">
        <f t="shared" ref="J64:J71" si="51">IF(H$12=0,0,H64/H$12)</f>
        <v>1.2881848765066862E-4</v>
      </c>
      <c r="K64" s="1"/>
      <c r="L64" s="1">
        <f t="shared" ref="L64:L71" si="52">+D64-H64</f>
        <v>250.63</v>
      </c>
      <c r="M64" s="1"/>
      <c r="N64" s="5">
        <f t="shared" ref="N64:N71" si="53">IF(H64=0,0,L64/H64)</f>
        <v>65.782152230971121</v>
      </c>
      <c r="O64" s="14"/>
      <c r="P64" s="1">
        <f>SUM(OSRRefP22_9x_0)</f>
        <v>5868.58</v>
      </c>
      <c r="Q64" s="1"/>
      <c r="R64" s="5">
        <f t="shared" ref="R64:R71" si="54">IF(P$12=0,0,P64/P$12)</f>
        <v>4.8008101998135655E-2</v>
      </c>
      <c r="S64" s="1"/>
      <c r="T64" s="1">
        <f>SUM(OSRRefT22_9x_0)</f>
        <v>10168.07</v>
      </c>
      <c r="U64" s="1"/>
      <c r="V64" s="5">
        <f t="shared" ref="V64:V71" si="55">IF(T$12=0,0,T64/T$12)</f>
        <v>9.7389504188543558E-2</v>
      </c>
      <c r="W64" s="1"/>
      <c r="X64" s="1">
        <f t="shared" ref="X64:X71" si="56">+P64-T64</f>
        <v>-4299.49</v>
      </c>
      <c r="Y64" s="1"/>
      <c r="Z64" s="5">
        <f t="shared" ref="Z64:Z71" si="57">IF(T64=0,0,X64/T64)</f>
        <v>-0.4228422896380532</v>
      </c>
    </row>
    <row r="65" spans="1:26" s="24" customFormat="1" hidden="1" outlineLevel="2" x14ac:dyDescent="0.3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7">
        <v>254.44</v>
      </c>
      <c r="E65" s="2"/>
      <c r="F65" s="6">
        <f t="shared" si="50"/>
        <v>1.0928267033862854E-2</v>
      </c>
      <c r="G65" s="2"/>
      <c r="H65" s="7">
        <v>3.81</v>
      </c>
      <c r="I65" s="2"/>
      <c r="J65" s="6">
        <f t="shared" si="51"/>
        <v>1.2881848765066862E-4</v>
      </c>
      <c r="K65" s="2"/>
      <c r="L65" s="7">
        <f t="shared" si="52"/>
        <v>250.63</v>
      </c>
      <c r="M65" s="2"/>
      <c r="N65" s="6">
        <f t="shared" si="53"/>
        <v>65.782152230971121</v>
      </c>
      <c r="O65" s="11"/>
      <c r="P65" s="7">
        <v>5868.58</v>
      </c>
      <c r="Q65" s="2"/>
      <c r="R65" s="6">
        <f t="shared" si="54"/>
        <v>4.8008101998135655E-2</v>
      </c>
      <c r="S65" s="2"/>
      <c r="T65" s="7">
        <v>10168.07</v>
      </c>
      <c r="U65" s="2"/>
      <c r="V65" s="6">
        <f t="shared" si="55"/>
        <v>9.7389504188543558E-2</v>
      </c>
      <c r="W65" s="2"/>
      <c r="X65" s="7">
        <f t="shared" si="56"/>
        <v>-4299.49</v>
      </c>
      <c r="Y65" s="2"/>
      <c r="Z65" s="6">
        <f t="shared" si="57"/>
        <v>-0.4228422896380532</v>
      </c>
    </row>
    <row r="66" spans="1:26" s="29" customFormat="1" outlineLevel="1" collapsed="1" x14ac:dyDescent="0.3">
      <c r="A66" s="28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SUM(OSRRefD22_10x_0)</f>
        <v>795.68000000000006</v>
      </c>
      <c r="E66" s="1"/>
      <c r="F66" s="5">
        <f t="shared" si="50"/>
        <v>3.4174671881402281E-2</v>
      </c>
      <c r="G66" s="1"/>
      <c r="H66" s="1">
        <f>SUM(OSRRefH22_10x_0)</f>
        <v>6267.77</v>
      </c>
      <c r="I66" s="1"/>
      <c r="J66" s="5">
        <f t="shared" si="51"/>
        <v>0.21191723158588749</v>
      </c>
      <c r="K66" s="1"/>
      <c r="L66" s="1">
        <f t="shared" si="52"/>
        <v>-5472.09</v>
      </c>
      <c r="M66" s="1"/>
      <c r="N66" s="5">
        <f t="shared" si="53"/>
        <v>-0.8730521381607812</v>
      </c>
      <c r="O66" s="14"/>
      <c r="P66" s="1">
        <f>SUM(OSRRefP22_10x_0)</f>
        <v>22617.919999999998</v>
      </c>
      <c r="Q66" s="1"/>
      <c r="R66" s="5">
        <f t="shared" si="54"/>
        <v>0.18502660104244509</v>
      </c>
      <c r="S66" s="1"/>
      <c r="T66" s="1">
        <f>SUM(OSRRefT22_10x_0)</f>
        <v>32085</v>
      </c>
      <c r="U66" s="1"/>
      <c r="V66" s="5">
        <f t="shared" si="55"/>
        <v>0.30730927716758638</v>
      </c>
      <c r="W66" s="1"/>
      <c r="X66" s="1">
        <f t="shared" si="56"/>
        <v>-9467.0800000000017</v>
      </c>
      <c r="Y66" s="1"/>
      <c r="Z66" s="5">
        <f t="shared" si="57"/>
        <v>-0.29506249026024628</v>
      </c>
    </row>
    <row r="67" spans="1:26" s="24" customFormat="1" hidden="1" outlineLevel="2" x14ac:dyDescent="0.3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50"/>
        <v>0</v>
      </c>
      <c r="G67" s="2"/>
      <c r="H67" s="7"/>
      <c r="I67" s="2"/>
      <c r="J67" s="6">
        <f t="shared" si="51"/>
        <v>0</v>
      </c>
      <c r="K67" s="2"/>
      <c r="L67" s="7">
        <f t="shared" si="52"/>
        <v>0</v>
      </c>
      <c r="M67" s="2"/>
      <c r="N67" s="6">
        <f t="shared" si="53"/>
        <v>0</v>
      </c>
      <c r="O67" s="11"/>
      <c r="P67" s="7"/>
      <c r="Q67" s="2"/>
      <c r="R67" s="6">
        <f t="shared" si="54"/>
        <v>0</v>
      </c>
      <c r="S67" s="2"/>
      <c r="T67" s="7">
        <v>310.91000000000003</v>
      </c>
      <c r="U67" s="2"/>
      <c r="V67" s="6">
        <f t="shared" si="55"/>
        <v>2.9778877158851266E-3</v>
      </c>
      <c r="W67" s="2"/>
      <c r="X67" s="7">
        <f t="shared" si="56"/>
        <v>-310.91000000000003</v>
      </c>
      <c r="Y67" s="2"/>
      <c r="Z67" s="6">
        <f t="shared" si="57"/>
        <v>-1</v>
      </c>
    </row>
    <row r="68" spans="1:26" s="24" customFormat="1" hidden="1" outlineLevel="2" x14ac:dyDescent="0.3">
      <c r="A68" s="27"/>
      <c r="B68" s="11" t="str">
        <f>CONCATENATE("          ", "6241", " - ", "OFFICE EXPENSE")</f>
        <v xml:space="preserve">          6241 - OFFICE EXPENSE</v>
      </c>
      <c r="C68" s="11"/>
      <c r="D68" s="7">
        <v>9.4600000000000009</v>
      </c>
      <c r="E68" s="2"/>
      <c r="F68" s="6">
        <f t="shared" si="50"/>
        <v>4.0630956665753263E-4</v>
      </c>
      <c r="G68" s="2"/>
      <c r="H68" s="7"/>
      <c r="I68" s="2"/>
      <c r="J68" s="6">
        <f t="shared" si="51"/>
        <v>0</v>
      </c>
      <c r="K68" s="2"/>
      <c r="L68" s="7">
        <f t="shared" si="52"/>
        <v>9.4600000000000009</v>
      </c>
      <c r="M68" s="2"/>
      <c r="N68" s="6">
        <f t="shared" si="53"/>
        <v>0</v>
      </c>
      <c r="O68" s="11"/>
      <c r="P68" s="7">
        <v>4862.3100000000004</v>
      </c>
      <c r="Q68" s="2"/>
      <c r="R68" s="6">
        <f t="shared" si="54"/>
        <v>3.977627883177106E-2</v>
      </c>
      <c r="S68" s="2"/>
      <c r="T68" s="7">
        <v>4596.8599999999997</v>
      </c>
      <c r="U68" s="2"/>
      <c r="V68" s="6">
        <f t="shared" si="55"/>
        <v>4.4028602893582389E-2</v>
      </c>
      <c r="W68" s="2"/>
      <c r="X68" s="7">
        <f t="shared" si="56"/>
        <v>265.45000000000073</v>
      </c>
      <c r="Y68" s="2"/>
      <c r="Z68" s="6">
        <f t="shared" si="57"/>
        <v>5.7745939619653575E-2</v>
      </c>
    </row>
    <row r="69" spans="1:26" s="24" customFormat="1" hidden="1" outlineLevel="2" x14ac:dyDescent="0.3">
      <c r="A69" s="27"/>
      <c r="B69" s="11" t="str">
        <f>CONCATENATE("          ", "6243", " - ", "PAPER SUPPLIES")</f>
        <v xml:space="preserve">          6243 - PAPER SUPPLIES</v>
      </c>
      <c r="C69" s="11"/>
      <c r="D69" s="7">
        <v>78.34</v>
      </c>
      <c r="E69" s="2"/>
      <c r="F69" s="6">
        <f t="shared" si="50"/>
        <v>3.3647242549631191E-3</v>
      </c>
      <c r="G69" s="2"/>
      <c r="H69" s="7">
        <v>1080</v>
      </c>
      <c r="I69" s="2"/>
      <c r="J69" s="6">
        <f t="shared" si="51"/>
        <v>3.6515476814362756E-2</v>
      </c>
      <c r="K69" s="2"/>
      <c r="L69" s="7">
        <f t="shared" si="52"/>
        <v>-1001.66</v>
      </c>
      <c r="M69" s="2"/>
      <c r="N69" s="6">
        <f t="shared" si="53"/>
        <v>-0.92746296296296293</v>
      </c>
      <c r="O69" s="11"/>
      <c r="P69" s="7">
        <v>4549.24</v>
      </c>
      <c r="Q69" s="2"/>
      <c r="R69" s="6">
        <f t="shared" si="54"/>
        <v>3.7215199917867467E-2</v>
      </c>
      <c r="S69" s="2"/>
      <c r="T69" s="7">
        <v>6173.4</v>
      </c>
      <c r="U69" s="2"/>
      <c r="V69" s="6">
        <f t="shared" si="55"/>
        <v>5.9128661108504836E-2</v>
      </c>
      <c r="W69" s="2"/>
      <c r="X69" s="7">
        <f t="shared" si="56"/>
        <v>-1624.1599999999999</v>
      </c>
      <c r="Y69" s="2"/>
      <c r="Z69" s="6">
        <f t="shared" si="57"/>
        <v>-0.26309003142514659</v>
      </c>
    </row>
    <row r="70" spans="1:26" s="24" customFormat="1" hidden="1" outlineLevel="2" x14ac:dyDescent="0.3">
      <c r="A70" s="27"/>
      <c r="B70" s="11" t="str">
        <f>CONCATENATE("          ", "6245", " - ", "PRINTING")</f>
        <v xml:space="preserve">          6245 - PRINTING</v>
      </c>
      <c r="C70" s="11"/>
      <c r="D70" s="7">
        <v>76.62</v>
      </c>
      <c r="E70" s="2"/>
      <c r="F70" s="6">
        <f t="shared" si="50"/>
        <v>3.2908497882981132E-3</v>
      </c>
      <c r="G70" s="2"/>
      <c r="H70" s="7"/>
      <c r="I70" s="2"/>
      <c r="J70" s="6">
        <f t="shared" si="51"/>
        <v>0</v>
      </c>
      <c r="K70" s="2"/>
      <c r="L70" s="7">
        <f t="shared" si="52"/>
        <v>76.62</v>
      </c>
      <c r="M70" s="2"/>
      <c r="N70" s="6">
        <f t="shared" si="53"/>
        <v>0</v>
      </c>
      <c r="O70" s="11"/>
      <c r="P70" s="7">
        <v>1158.55</v>
      </c>
      <c r="Q70" s="2"/>
      <c r="R70" s="6">
        <f t="shared" si="54"/>
        <v>9.4775544629092674E-3</v>
      </c>
      <c r="S70" s="2"/>
      <c r="T70" s="7">
        <v>439.61</v>
      </c>
      <c r="U70" s="2"/>
      <c r="V70" s="6">
        <f t="shared" si="55"/>
        <v>4.2105728949865251E-3</v>
      </c>
      <c r="W70" s="2"/>
      <c r="X70" s="7">
        <f t="shared" si="56"/>
        <v>718.93999999999994</v>
      </c>
      <c r="Y70" s="2"/>
      <c r="Z70" s="6">
        <f t="shared" si="57"/>
        <v>1.6354041081868018</v>
      </c>
    </row>
    <row r="71" spans="1:26" s="24" customFormat="1" hidden="1" outlineLevel="2" x14ac:dyDescent="0.3">
      <c r="A71" s="27"/>
      <c r="B71" s="11" t="str">
        <f>CONCATENATE("          ", "6247", " - ", "STORE SUPPLIES")</f>
        <v xml:space="preserve">          6247 - STORE SUPPLIES</v>
      </c>
      <c r="C71" s="11"/>
      <c r="D71" s="7">
        <v>631.26</v>
      </c>
      <c r="E71" s="2"/>
      <c r="F71" s="6">
        <f t="shared" si="50"/>
        <v>2.7112788271483512E-2</v>
      </c>
      <c r="G71" s="2"/>
      <c r="H71" s="7">
        <v>5187.7700000000004</v>
      </c>
      <c r="I71" s="2"/>
      <c r="J71" s="6">
        <f t="shared" si="51"/>
        <v>0.17540175477152473</v>
      </c>
      <c r="K71" s="2"/>
      <c r="L71" s="7">
        <f t="shared" si="52"/>
        <v>-4556.51</v>
      </c>
      <c r="M71" s="2"/>
      <c r="N71" s="6">
        <f t="shared" si="53"/>
        <v>-0.87831765864716438</v>
      </c>
      <c r="O71" s="11"/>
      <c r="P71" s="7">
        <v>12047.82</v>
      </c>
      <c r="Q71" s="2"/>
      <c r="R71" s="6">
        <f t="shared" si="54"/>
        <v>9.8557567829897302E-2</v>
      </c>
      <c r="S71" s="2"/>
      <c r="T71" s="7">
        <v>20564.22</v>
      </c>
      <c r="U71" s="2"/>
      <c r="V71" s="6">
        <f t="shared" si="55"/>
        <v>0.1969635525546275</v>
      </c>
      <c r="W71" s="2"/>
      <c r="X71" s="7">
        <f t="shared" si="56"/>
        <v>-8516.4000000000015</v>
      </c>
      <c r="Y71" s="2"/>
      <c r="Z71" s="6">
        <f t="shared" si="57"/>
        <v>-0.41413678709914603</v>
      </c>
    </row>
    <row r="72" spans="1:26" s="29" customFormat="1" outlineLevel="1" collapsed="1" x14ac:dyDescent="0.3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SUM(OSRRefD22_11x_0)</f>
        <v>111.3</v>
      </c>
      <c r="E72" s="1"/>
      <c r="F72" s="5">
        <f t="shared" ref="F72:F75" si="58">IF(D$12=0,0,D72/D$12)</f>
        <v>4.7803651975669532E-3</v>
      </c>
      <c r="G72" s="1"/>
      <c r="H72" s="1">
        <f>SUM(OSRRefH22_11x_0)</f>
        <v>82.2</v>
      </c>
      <c r="I72" s="1"/>
      <c r="J72" s="5">
        <f t="shared" ref="J72:J75" si="59">IF(H$12=0,0,H72/H$12)</f>
        <v>2.7792335130931655E-3</v>
      </c>
      <c r="K72" s="1"/>
      <c r="L72" s="1">
        <f t="shared" ref="L72:L75" si="60">+D72-H72</f>
        <v>29.099999999999994</v>
      </c>
      <c r="M72" s="1"/>
      <c r="N72" s="5">
        <f t="shared" ref="N72:N75" si="61">IF(H72=0,0,L72/H72)</f>
        <v>0.35401459854014589</v>
      </c>
      <c r="O72" s="14"/>
      <c r="P72" s="1">
        <f>SUM(OSRRefP22_11x_0)</f>
        <v>740.85</v>
      </c>
      <c r="Q72" s="1"/>
      <c r="R72" s="5">
        <f t="shared" ref="R72:R75" si="62">IF(P$12=0,0,P72/P$12)</f>
        <v>6.0605465658334391E-3</v>
      </c>
      <c r="S72" s="1"/>
      <c r="T72" s="1">
        <f>SUM(OSRRefT22_11x_0)</f>
        <v>1339.2</v>
      </c>
      <c r="U72" s="1"/>
      <c r="V72" s="5">
        <f t="shared" ref="V72:V75" si="63">IF(T$12=0,0,T72/T$12)</f>
        <v>1.2826822003516649E-2</v>
      </c>
      <c r="W72" s="1"/>
      <c r="X72" s="1">
        <f t="shared" ref="X72:X75" si="64">+P72-T72</f>
        <v>-598.35</v>
      </c>
      <c r="Y72" s="1"/>
      <c r="Z72" s="5">
        <f t="shared" ref="Z72:Z75" si="65">IF(T72=0,0,X72/T72)</f>
        <v>-0.44679659498207885</v>
      </c>
    </row>
    <row r="73" spans="1:26" s="24" customFormat="1" hidden="1" outlineLevel="2" x14ac:dyDescent="0.3">
      <c r="A73" s="27"/>
      <c r="B73" s="11" t="str">
        <f>CONCATENATE("          ", "6309", " - ", "TELEPHONE")</f>
        <v xml:space="preserve">          6309 - TELEPHONE</v>
      </c>
      <c r="C73" s="11"/>
      <c r="D73" s="7">
        <v>111.3</v>
      </c>
      <c r="E73" s="2"/>
      <c r="F73" s="6">
        <f t="shared" si="58"/>
        <v>4.7803651975669532E-3</v>
      </c>
      <c r="G73" s="2"/>
      <c r="H73" s="7">
        <v>82.2</v>
      </c>
      <c r="I73" s="2"/>
      <c r="J73" s="6">
        <f t="shared" si="59"/>
        <v>2.7792335130931655E-3</v>
      </c>
      <c r="K73" s="2"/>
      <c r="L73" s="7">
        <f t="shared" si="60"/>
        <v>29.099999999999994</v>
      </c>
      <c r="M73" s="2"/>
      <c r="N73" s="6">
        <f t="shared" si="61"/>
        <v>0.35401459854014589</v>
      </c>
      <c r="O73" s="11"/>
      <c r="P73" s="7">
        <v>740.85</v>
      </c>
      <c r="Q73" s="2"/>
      <c r="R73" s="6">
        <f t="shared" si="62"/>
        <v>6.0605465658334391E-3</v>
      </c>
      <c r="S73" s="2"/>
      <c r="T73" s="7">
        <v>1339.2</v>
      </c>
      <c r="U73" s="2"/>
      <c r="V73" s="6">
        <f t="shared" si="63"/>
        <v>1.2826822003516649E-2</v>
      </c>
      <c r="W73" s="2"/>
      <c r="X73" s="7">
        <f t="shared" si="64"/>
        <v>-598.35</v>
      </c>
      <c r="Y73" s="2"/>
      <c r="Z73" s="6">
        <f t="shared" si="65"/>
        <v>-0.44679659498207885</v>
      </c>
    </row>
    <row r="74" spans="1:26" s="29" customFormat="1" outlineLevel="1" collapsed="1" x14ac:dyDescent="0.3">
      <c r="A74" s="28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SUM(OSRRefD22_12x_0)</f>
        <v>0</v>
      </c>
      <c r="E74" s="1"/>
      <c r="F74" s="5">
        <f t="shared" si="58"/>
        <v>0</v>
      </c>
      <c r="G74" s="1"/>
      <c r="H74" s="1">
        <f>SUM(OSRRefH22_12x_0)</f>
        <v>0</v>
      </c>
      <c r="I74" s="1"/>
      <c r="J74" s="5">
        <f t="shared" si="59"/>
        <v>0</v>
      </c>
      <c r="K74" s="1"/>
      <c r="L74" s="1">
        <f t="shared" si="60"/>
        <v>0</v>
      </c>
      <c r="M74" s="1"/>
      <c r="N74" s="5">
        <f t="shared" si="61"/>
        <v>0</v>
      </c>
      <c r="O74" s="14"/>
      <c r="P74" s="1">
        <f>SUM(OSRRefP22_12x_0)</f>
        <v>0</v>
      </c>
      <c r="Q74" s="1"/>
      <c r="R74" s="5">
        <f t="shared" si="62"/>
        <v>0</v>
      </c>
      <c r="S74" s="1"/>
      <c r="T74" s="1">
        <f>SUM(OSRRefT22_12x_0)</f>
        <v>15.02</v>
      </c>
      <c r="U74" s="1"/>
      <c r="V74" s="5">
        <f t="shared" si="63"/>
        <v>1.438611607622611E-4</v>
      </c>
      <c r="W74" s="1"/>
      <c r="X74" s="1">
        <f t="shared" si="64"/>
        <v>-15.02</v>
      </c>
      <c r="Y74" s="1"/>
      <c r="Z74" s="5">
        <f t="shared" si="65"/>
        <v>-1</v>
      </c>
    </row>
    <row r="75" spans="1:26" s="24" customFormat="1" hidden="1" outlineLevel="2" x14ac:dyDescent="0.3">
      <c r="A75" s="27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58"/>
        <v>0</v>
      </c>
      <c r="G75" s="2"/>
      <c r="H75" s="7"/>
      <c r="I75" s="2"/>
      <c r="J75" s="6">
        <f t="shared" si="59"/>
        <v>0</v>
      </c>
      <c r="K75" s="2"/>
      <c r="L75" s="7">
        <f t="shared" si="60"/>
        <v>0</v>
      </c>
      <c r="M75" s="2"/>
      <c r="N75" s="6">
        <f t="shared" si="61"/>
        <v>0</v>
      </c>
      <c r="O75" s="11"/>
      <c r="P75" s="7"/>
      <c r="Q75" s="2"/>
      <c r="R75" s="6">
        <f t="shared" si="62"/>
        <v>0</v>
      </c>
      <c r="S75" s="2"/>
      <c r="T75" s="7">
        <v>15.02</v>
      </c>
      <c r="U75" s="2"/>
      <c r="V75" s="6">
        <f t="shared" si="63"/>
        <v>1.438611607622611E-4</v>
      </c>
      <c r="W75" s="2"/>
      <c r="X75" s="7">
        <f t="shared" si="64"/>
        <v>-15.02</v>
      </c>
      <c r="Y75" s="2"/>
      <c r="Z75" s="6">
        <f t="shared" si="65"/>
        <v>-1</v>
      </c>
    </row>
    <row r="76" spans="1:26" s="52" customFormat="1" x14ac:dyDescent="0.3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3">
      <c r="A77" s="10"/>
      <c r="B77" s="26" t="s">
        <v>292</v>
      </c>
      <c r="C77" s="10"/>
      <c r="D77" s="4">
        <f>SUM(OSRRefD25x_0)</f>
        <v>236.44</v>
      </c>
      <c r="E77" s="4"/>
      <c r="F77" s="12">
        <f t="shared" ref="F77:F79" si="66">IF(D$12=0,0,D77/D$12)</f>
        <v>1.0155162150159304E-2</v>
      </c>
      <c r="G77" s="4"/>
      <c r="H77" s="4">
        <f>SUM(OSRRefH25x_0)</f>
        <v>6782</v>
      </c>
      <c r="I77" s="4"/>
      <c r="J77" s="12">
        <f t="shared" ref="J77:J79" si="67">IF(H$12=0,0,H77/H$12)</f>
        <v>0.22930367014352615</v>
      </c>
      <c r="K77" s="4"/>
      <c r="L77" s="4">
        <f t="shared" ref="L77:L79" si="68">+D77-H77</f>
        <v>-6545.56</v>
      </c>
      <c r="M77" s="4"/>
      <c r="N77" s="12">
        <f t="shared" ref="N77:N79" si="69">IF(H77=0,0,L77/H77)</f>
        <v>-0.96513712769094673</v>
      </c>
      <c r="O77" s="10"/>
      <c r="P77" s="4">
        <f>SUM(OSRRefP25x_0)</f>
        <v>15135.44</v>
      </c>
      <c r="Q77" s="4"/>
      <c r="R77" s="12">
        <f t="shared" ref="R77:R79" si="70">IF(P$12=0,0,P77/P$12)</f>
        <v>0.12381593968330711</v>
      </c>
      <c r="S77" s="4"/>
      <c r="T77" s="4">
        <f>SUM(OSRRefT25x_0)</f>
        <v>47474</v>
      </c>
      <c r="U77" s="4"/>
      <c r="V77" s="12">
        <f t="shared" ref="V77:V79" si="71">IF(T$12=0,0,T77/T$12)</f>
        <v>0.45470471012167668</v>
      </c>
      <c r="W77" s="4"/>
      <c r="X77" s="4">
        <f t="shared" ref="X77:X79" si="72">+P77-T77</f>
        <v>-32338.559999999998</v>
      </c>
      <c r="Y77" s="4"/>
      <c r="Z77" s="12">
        <f t="shared" ref="Z77:Z79" si="73">IF(T77=0,0,X77/T77)</f>
        <v>-0.68118464843914561</v>
      </c>
    </row>
    <row r="78" spans="1:26" s="24" customFormat="1" hidden="1" outlineLevel="1" x14ac:dyDescent="0.3">
      <c r="A78" s="44"/>
      <c r="B78" s="11" t="str">
        <f>CONCATENATE("          ", "9150", " - ", "MISC. INCOME")</f>
        <v xml:space="preserve">          9150 - MISC. INCOME</v>
      </c>
      <c r="C78" s="11"/>
      <c r="D78" s="2">
        <f>--236.44</f>
        <v>236.44</v>
      </c>
      <c r="E78" s="2"/>
      <c r="F78" s="19">
        <f t="shared" si="66"/>
        <v>1.0155162150159304E-2</v>
      </c>
      <c r="G78" s="2"/>
      <c r="H78" s="2">
        <f>--6782</f>
        <v>6782</v>
      </c>
      <c r="I78" s="2"/>
      <c r="J78" s="19">
        <f t="shared" si="67"/>
        <v>0.22930367014352615</v>
      </c>
      <c r="K78" s="2"/>
      <c r="L78" s="2">
        <f t="shared" si="68"/>
        <v>-6545.56</v>
      </c>
      <c r="M78" s="2"/>
      <c r="N78" s="19">
        <f t="shared" si="69"/>
        <v>-0.96513712769094673</v>
      </c>
      <c r="O78" s="11"/>
      <c r="P78" s="2">
        <f>--15135.44</f>
        <v>15135.44</v>
      </c>
      <c r="Q78" s="2"/>
      <c r="R78" s="19">
        <f t="shared" si="70"/>
        <v>0.12381593968330711</v>
      </c>
      <c r="S78" s="2"/>
      <c r="T78" s="2">
        <f>--47474</f>
        <v>47474</v>
      </c>
      <c r="U78" s="2"/>
      <c r="V78" s="19">
        <f t="shared" si="71"/>
        <v>0.45470471012167668</v>
      </c>
      <c r="W78" s="2"/>
      <c r="X78" s="2">
        <f t="shared" si="72"/>
        <v>-32338.559999999998</v>
      </c>
      <c r="Y78" s="2"/>
      <c r="Z78" s="19">
        <f t="shared" si="73"/>
        <v>-0.68118464843914561</v>
      </c>
    </row>
    <row r="79" spans="1:26" s="24" customFormat="1" hidden="1" outlineLevel="1" x14ac:dyDescent="0.3">
      <c r="A79" s="44"/>
      <c r="B79" s="11" t="str">
        <f>CONCATENATE("          ", "9163", " - ", "MISC. INCOME")</f>
        <v xml:space="preserve">          9163 - MISC. INCOME</v>
      </c>
      <c r="C79" s="11"/>
      <c r="D79" s="2">
        <f>0</f>
        <v>0</v>
      </c>
      <c r="E79" s="2"/>
      <c r="F79" s="19">
        <f t="shared" si="66"/>
        <v>0</v>
      </c>
      <c r="G79" s="2"/>
      <c r="H79" s="2">
        <f>0</f>
        <v>0</v>
      </c>
      <c r="I79" s="2"/>
      <c r="J79" s="19">
        <f t="shared" si="67"/>
        <v>0</v>
      </c>
      <c r="K79" s="2"/>
      <c r="L79" s="2">
        <f t="shared" si="68"/>
        <v>0</v>
      </c>
      <c r="M79" s="2"/>
      <c r="N79" s="19">
        <f t="shared" si="69"/>
        <v>0</v>
      </c>
      <c r="O79" s="11"/>
      <c r="P79" s="2">
        <f>0</f>
        <v>0</v>
      </c>
      <c r="Q79" s="2"/>
      <c r="R79" s="19">
        <f t="shared" si="70"/>
        <v>0</v>
      </c>
      <c r="S79" s="2"/>
      <c r="T79" s="2">
        <f>0</f>
        <v>0</v>
      </c>
      <c r="U79" s="2"/>
      <c r="V79" s="19">
        <f t="shared" si="71"/>
        <v>0</v>
      </c>
      <c r="W79" s="2"/>
      <c r="X79" s="2">
        <f t="shared" si="72"/>
        <v>0</v>
      </c>
      <c r="Y79" s="2"/>
      <c r="Z79" s="19">
        <f t="shared" si="73"/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+D31-D33+D77</f>
        <v>4467.3600000000015</v>
      </c>
      <c r="E81" s="13"/>
      <c r="F81" s="22">
        <f>IF(D$12=0,0,D81/D$12)</f>
        <v>0.19187432407010524</v>
      </c>
      <c r="G81" s="13"/>
      <c r="H81" s="21">
        <f>+H31-H33+H77</f>
        <v>18251.210000000003</v>
      </c>
      <c r="I81" s="13"/>
      <c r="J81" s="22">
        <f>IF(H$12=0,0,H81/H$12)</f>
        <v>0.61708484776765349</v>
      </c>
      <c r="K81" s="15"/>
      <c r="L81" s="21">
        <f>+D81-H81</f>
        <v>-13783.850000000002</v>
      </c>
      <c r="M81" s="15"/>
      <c r="N81" s="22">
        <f>IF(H81=0,0,L81/H81)</f>
        <v>-0.75522937931238532</v>
      </c>
      <c r="O81" s="26"/>
      <c r="P81" s="21">
        <f>+P31-P33+P77</f>
        <v>-24681.02999999997</v>
      </c>
      <c r="Q81" s="13"/>
      <c r="R81" s="22">
        <f>IF(P$12=0,0,P81/P$12)</f>
        <v>-0.20190393683975419</v>
      </c>
      <c r="S81" s="13"/>
      <c r="T81" s="21">
        <f>+T31-T33+T77</f>
        <v>-58351.529999999941</v>
      </c>
      <c r="U81" s="13"/>
      <c r="V81" s="22">
        <f>IF(T$12=0,0,T81/T$12)</f>
        <v>-0.55888940333248283</v>
      </c>
      <c r="W81" s="15"/>
      <c r="X81" s="21">
        <f>+P81-T81</f>
        <v>33670.499999999971</v>
      </c>
      <c r="Y81" s="15"/>
      <c r="Z81" s="22">
        <f>IF(T81=0,0,X81/T81)</f>
        <v>-0.57702857148732867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4269.04</v>
      </c>
      <c r="E83" s="4"/>
      <c r="F83" s="12">
        <f>IF(D$12=0,0,D83/D$12)</f>
        <v>0.18335642626254472</v>
      </c>
      <c r="G83" s="4"/>
      <c r="H83" s="4">
        <v>5107.41</v>
      </c>
      <c r="I83" s="4"/>
      <c r="J83" s="12">
        <f>IF(H$12=0,0,H83/H$12)</f>
        <v>0.17268473281152269</v>
      </c>
      <c r="K83" s="4"/>
      <c r="L83" s="4">
        <f>+D83-H83</f>
        <v>-838.36999999999989</v>
      </c>
      <c r="M83" s="4"/>
      <c r="N83" s="12">
        <f>IF(H83=0,0,L83/H83)</f>
        <v>-0.16414777744492803</v>
      </c>
      <c r="O83" s="10"/>
      <c r="P83" s="4">
        <v>16180.78</v>
      </c>
      <c r="Q83" s="4"/>
      <c r="R83" s="12">
        <f>IF(P$12=0,0,P83/P$12)</f>
        <v>0.13236737620504338</v>
      </c>
      <c r="S83" s="4"/>
      <c r="T83" s="4">
        <v>18952.490000000002</v>
      </c>
      <c r="U83" s="4"/>
      <c r="V83" s="12">
        <f>IF(T$12=0,0,T83/T$12)</f>
        <v>0.18152644545506966</v>
      </c>
      <c r="W83" s="4"/>
      <c r="X83" s="4">
        <f>+P83-T83</f>
        <v>-2771.7100000000009</v>
      </c>
      <c r="Y83" s="4"/>
      <c r="Z83" s="12">
        <f>IF(T83=0,0,X83/T83)</f>
        <v>-0.14624516356425993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6">
        <f>+D81-D83</f>
        <v>198.32000000000153</v>
      </c>
      <c r="E85" s="13"/>
      <c r="F85" s="31">
        <f>IF(D$12=0,0,D85/D$12)</f>
        <v>8.5178978075605167E-3</v>
      </c>
      <c r="G85" s="13"/>
      <c r="H85" s="36">
        <f>+H81-H83</f>
        <v>13143.800000000003</v>
      </c>
      <c r="I85" s="13"/>
      <c r="J85" s="31">
        <f>IF(H$12=0,0,H85/H$12)</f>
        <v>0.44440011495613085</v>
      </c>
      <c r="K85" s="15"/>
      <c r="L85" s="36">
        <f>D85-H85</f>
        <v>-12945.480000000001</v>
      </c>
      <c r="M85" s="15"/>
      <c r="N85" s="31">
        <f>IF(H85=0,0,L85/H85)</f>
        <v>-0.98491151721724302</v>
      </c>
      <c r="O85" s="26"/>
      <c r="P85" s="36">
        <f>+P81-P83</f>
        <v>-40861.809999999969</v>
      </c>
      <c r="Q85" s="13"/>
      <c r="R85" s="31">
        <f>IF(P$12=0,0,P85/P$12)</f>
        <v>-0.33427131304479757</v>
      </c>
      <c r="S85" s="13"/>
      <c r="T85" s="36">
        <f>+T81-T83</f>
        <v>-77304.019999999946</v>
      </c>
      <c r="U85" s="13"/>
      <c r="V85" s="31">
        <f>IF(T$12=0,0,T85/T$12)</f>
        <v>-0.74041584878755251</v>
      </c>
      <c r="W85" s="15"/>
      <c r="X85" s="36">
        <f>P85-T85</f>
        <v>36442.209999999977</v>
      </c>
      <c r="Y85" s="15"/>
      <c r="Z85" s="31">
        <f>IF(T85=0,0,X85/T85)</f>
        <v>-0.47141416448976398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5">
        <f>SUM(D85:D87)</f>
        <v>198.32000000000153</v>
      </c>
      <c r="E88" s="13"/>
      <c r="F88" s="32">
        <f>IF(D$12=0,0,D88/D$12)</f>
        <v>8.5178978075605167E-3</v>
      </c>
      <c r="G88" s="13"/>
      <c r="H88" s="35">
        <f>SUM(H85:H87)</f>
        <v>13143.800000000003</v>
      </c>
      <c r="I88" s="13"/>
      <c r="J88" s="32">
        <f>IF(H$12=0,0,H88/H$12)</f>
        <v>0.44440011495613085</v>
      </c>
      <c r="K88" s="15"/>
      <c r="L88" s="35">
        <f>+D88-H88</f>
        <v>-12945.480000000001</v>
      </c>
      <c r="M88" s="15"/>
      <c r="N88" s="32">
        <f>IF(H88=0,0,L88/H88)</f>
        <v>-0.98491151721724302</v>
      </c>
      <c r="O88" s="26"/>
      <c r="P88" s="35">
        <f>SUM(P85:P87)</f>
        <v>-40861.809999999969</v>
      </c>
      <c r="Q88" s="13"/>
      <c r="R88" s="32">
        <f>IF(P$12=0,0,P88/P$12)</f>
        <v>-0.33427131304479757</v>
      </c>
      <c r="S88" s="13"/>
      <c r="T88" s="35">
        <f>SUM(T85:T87)</f>
        <v>-77304.019999999946</v>
      </c>
      <c r="U88" s="13"/>
      <c r="V88" s="32">
        <f>IF(T$12=0,0,T88/T$12)</f>
        <v>-0.74041584878755251</v>
      </c>
      <c r="W88" s="15"/>
      <c r="X88" s="35">
        <f>+P88-T88</f>
        <v>36442.209999999977</v>
      </c>
      <c r="Y88" s="15"/>
      <c r="Z88" s="32">
        <f>IF(T88=0,0,X88/T88)</f>
        <v>-0.47141416448976398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4">
        <v>44604.028437118053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3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","316", " - ", "Campus Copy Center")</f>
        <v>Department 316 - Campus Copy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23282.739999999998</v>
      </c>
      <c r="E12" s="4"/>
      <c r="F12" s="12"/>
      <c r="G12" s="4"/>
      <c r="H12" s="4">
        <f>SUM(OSRRefH13x_0)</f>
        <v>29576.499999999996</v>
      </c>
      <c r="I12" s="4"/>
      <c r="J12" s="12"/>
      <c r="K12" s="4"/>
      <c r="L12" s="4">
        <f t="shared" ref="L12:L24" si="0">+D12-H12</f>
        <v>-6293.7599999999984</v>
      </c>
      <c r="M12" s="4"/>
      <c r="N12" s="12">
        <f t="shared" ref="N12:N24" si="1">IF(H12=0,0,L12/H12)</f>
        <v>-0.21279596977329973</v>
      </c>
      <c r="O12" s="10"/>
      <c r="P12" s="4">
        <f>SUM(OSRRefP13x_0)</f>
        <v>122241.45</v>
      </c>
      <c r="Q12" s="4"/>
      <c r="R12" s="12"/>
      <c r="S12" s="4"/>
      <c r="T12" s="4">
        <f>SUM(OSRRefT13x_0)</f>
        <v>104406.22</v>
      </c>
      <c r="U12" s="4"/>
      <c r="V12" s="12"/>
      <c r="W12" s="4"/>
      <c r="X12" s="4">
        <f t="shared" ref="X12:X24" si="2">+P12-T12</f>
        <v>17835.229999999996</v>
      </c>
      <c r="Y12" s="4"/>
      <c r="Z12" s="12">
        <f t="shared" ref="Z12:Z24" si="3">IF(T12=0,0,X12/T12)</f>
        <v>0.17082535887229702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--21634.61</f>
        <v>21634.61</v>
      </c>
      <c r="E13" s="2"/>
      <c r="F13" s="19"/>
      <c r="G13" s="2"/>
      <c r="H13" s="2">
        <f>-0.63</f>
        <v>-0.63</v>
      </c>
      <c r="I13" s="2"/>
      <c r="J13" s="19"/>
      <c r="K13" s="2"/>
      <c r="L13" s="2">
        <f t="shared" si="0"/>
        <v>21635.24</v>
      </c>
      <c r="M13" s="2"/>
      <c r="N13" s="19">
        <f t="shared" si="1"/>
        <v>-34341.650793650799</v>
      </c>
      <c r="O13" s="11"/>
      <c r="P13" s="2">
        <f>--100311.79</f>
        <v>100311.79</v>
      </c>
      <c r="Q13" s="2"/>
      <c r="R13" s="19"/>
      <c r="S13" s="2"/>
      <c r="T13" s="2">
        <f>-9.28</f>
        <v>-9.2799999999999994</v>
      </c>
      <c r="U13" s="2"/>
      <c r="V13" s="19"/>
      <c r="W13" s="2"/>
      <c r="X13" s="2">
        <f t="shared" si="2"/>
        <v>100321.06999999999</v>
      </c>
      <c r="Y13" s="2"/>
      <c r="Z13" s="19">
        <f t="shared" si="3"/>
        <v>-10810.460129310344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--27561.7</f>
        <v>27561.7</v>
      </c>
      <c r="I14" s="2"/>
      <c r="J14" s="19"/>
      <c r="K14" s="2"/>
      <c r="L14" s="2">
        <f t="shared" si="0"/>
        <v>-27561.7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--88505.97</f>
        <v>88505.97</v>
      </c>
      <c r="U14" s="2"/>
      <c r="V14" s="19"/>
      <c r="W14" s="2"/>
      <c r="X14" s="2">
        <f t="shared" si="2"/>
        <v>-88505.97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--1691.73</f>
        <v>1691.73</v>
      </c>
      <c r="I15" s="2"/>
      <c r="J15" s="19"/>
      <c r="K15" s="2"/>
      <c r="L15" s="2">
        <f t="shared" si="0"/>
        <v>-1691.73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--14545.58</f>
        <v>14545.58</v>
      </c>
      <c r="U15" s="2"/>
      <c r="V15" s="19"/>
      <c r="W15" s="2"/>
      <c r="X15" s="2">
        <f t="shared" si="2"/>
        <v>-14545.58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--18.35</f>
        <v>18.350000000000001</v>
      </c>
      <c r="I16" s="2"/>
      <c r="J16" s="19"/>
      <c r="K16" s="2"/>
      <c r="L16" s="2">
        <f t="shared" si="0"/>
        <v>-18.350000000000001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--34.31</f>
        <v>34.31</v>
      </c>
      <c r="U16" s="2"/>
      <c r="V16" s="19"/>
      <c r="W16" s="2"/>
      <c r="X16" s="2">
        <f t="shared" si="2"/>
        <v>-34.31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--1803.53</f>
        <v>1803.53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1803.53</v>
      </c>
      <c r="M17" s="2"/>
      <c r="N17" s="19">
        <f t="shared" si="1"/>
        <v>0</v>
      </c>
      <c r="O17" s="11"/>
      <c r="P17" s="2">
        <f>--22488.06</f>
        <v>22488.06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22488.06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1" si="6">0</f>
        <v>0</v>
      </c>
      <c r="E18" s="2"/>
      <c r="F18" s="19"/>
      <c r="G18" s="2"/>
      <c r="H18" s="2">
        <f>--708.6</f>
        <v>708.6</v>
      </c>
      <c r="I18" s="2"/>
      <c r="J18" s="19"/>
      <c r="K18" s="2"/>
      <c r="L18" s="2">
        <f t="shared" si="0"/>
        <v>-708.6</v>
      </c>
      <c r="M18" s="2"/>
      <c r="N18" s="19">
        <f t="shared" si="1"/>
        <v>-1</v>
      </c>
      <c r="O18" s="11"/>
      <c r="P18" s="2">
        <f t="shared" ref="P18:P21" si="7">0</f>
        <v>0</v>
      </c>
      <c r="Q18" s="2"/>
      <c r="R18" s="19"/>
      <c r="S18" s="2"/>
      <c r="T18" s="2">
        <f>--1228.25</f>
        <v>1228.25</v>
      </c>
      <c r="U18" s="2"/>
      <c r="V18" s="19"/>
      <c r="W18" s="2"/>
      <c r="X18" s="2">
        <f t="shared" si="2"/>
        <v>-1228.25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6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7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6"/>
        <v>0</v>
      </c>
      <c r="E20" s="2"/>
      <c r="F20" s="19"/>
      <c r="G20" s="2"/>
      <c r="H20" s="2">
        <f>--12.7</f>
        <v>12.7</v>
      </c>
      <c r="I20" s="2"/>
      <c r="J20" s="19"/>
      <c r="K20" s="2"/>
      <c r="L20" s="2">
        <f t="shared" si="0"/>
        <v>-12.7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--140.6</f>
        <v>140.6</v>
      </c>
      <c r="U20" s="2"/>
      <c r="V20" s="19"/>
      <c r="W20" s="2"/>
      <c r="X20" s="2">
        <f t="shared" si="2"/>
        <v>-140.6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6"/>
        <v>0</v>
      </c>
      <c r="E21" s="2"/>
      <c r="F21" s="19"/>
      <c r="G21" s="2"/>
      <c r="H21" s="2">
        <f>--11</f>
        <v>11</v>
      </c>
      <c r="I21" s="2"/>
      <c r="J21" s="19"/>
      <c r="K21" s="2"/>
      <c r="L21" s="2">
        <f t="shared" si="0"/>
        <v>-11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--115.5</f>
        <v>115.5</v>
      </c>
      <c r="U21" s="2"/>
      <c r="V21" s="19"/>
      <c r="W21" s="2"/>
      <c r="X21" s="2">
        <f t="shared" si="2"/>
        <v>-115.5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-155.4</f>
        <v>-155.4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-155.4</v>
      </c>
      <c r="M22" s="2"/>
      <c r="N22" s="19">
        <f t="shared" si="1"/>
        <v>0</v>
      </c>
      <c r="O22" s="11"/>
      <c r="P22" s="2">
        <f>-558.4</f>
        <v>-558.4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-558.4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8">0</f>
        <v>0</v>
      </c>
      <c r="E23" s="2"/>
      <c r="F23" s="19"/>
      <c r="G23" s="2"/>
      <c r="H23" s="2">
        <f>-415.75</f>
        <v>-415.75</v>
      </c>
      <c r="I23" s="2"/>
      <c r="J23" s="19"/>
      <c r="K23" s="2"/>
      <c r="L23" s="2">
        <f t="shared" si="0"/>
        <v>415.75</v>
      </c>
      <c r="M23" s="2"/>
      <c r="N23" s="19">
        <f t="shared" si="1"/>
        <v>-1</v>
      </c>
      <c r="O23" s="11"/>
      <c r="P23" s="2">
        <f t="shared" ref="P23:P24" si="9">0</f>
        <v>0</v>
      </c>
      <c r="Q23" s="2"/>
      <c r="R23" s="19"/>
      <c r="S23" s="2"/>
      <c r="T23" s="2">
        <f>-1254.1</f>
        <v>-1254.0999999999999</v>
      </c>
      <c r="U23" s="2"/>
      <c r="V23" s="19"/>
      <c r="W23" s="2"/>
      <c r="X23" s="2">
        <f t="shared" si="2"/>
        <v>1254.0999999999999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8"/>
        <v>0</v>
      </c>
      <c r="E24" s="2"/>
      <c r="F24" s="19"/>
      <c r="G24" s="2"/>
      <c r="H24" s="2">
        <f>-11.2</f>
        <v>-11.2</v>
      </c>
      <c r="I24" s="2"/>
      <c r="J24" s="19"/>
      <c r="K24" s="2"/>
      <c r="L24" s="2">
        <f t="shared" si="0"/>
        <v>11.2</v>
      </c>
      <c r="M24" s="2"/>
      <c r="N24" s="19">
        <f t="shared" si="1"/>
        <v>-1</v>
      </c>
      <c r="O24" s="11"/>
      <c r="P24" s="2">
        <f t="shared" si="9"/>
        <v>0</v>
      </c>
      <c r="Q24" s="2"/>
      <c r="R24" s="19"/>
      <c r="S24" s="2"/>
      <c r="T24" s="2">
        <f>-11.2</f>
        <v>-11.2</v>
      </c>
      <c r="U24" s="2"/>
      <c r="V24" s="19"/>
      <c r="W24" s="2"/>
      <c r="X24" s="2">
        <f t="shared" si="2"/>
        <v>11.2</v>
      </c>
      <c r="Y24" s="2"/>
      <c r="Z24" s="19">
        <f t="shared" si="3"/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3">
      <c r="A26" s="10"/>
      <c r="B26" s="26" t="s">
        <v>256</v>
      </c>
      <c r="C26" s="10"/>
      <c r="D26" s="4">
        <f>SUM(OSRRefD16x_0)</f>
        <v>0</v>
      </c>
      <c r="E26" s="4"/>
      <c r="F26" s="12">
        <f t="shared" ref="F26:F27" si="10">IF(D$12=0,0,D26/D$12)</f>
        <v>0</v>
      </c>
      <c r="G26" s="4"/>
      <c r="H26" s="4">
        <f>SUM(OSRRefH16x_0)</f>
        <v>0</v>
      </c>
      <c r="I26" s="4"/>
      <c r="J26" s="12">
        <f t="shared" ref="J26:J27" si="11">IF(H$12=0,0,H26/H$12)</f>
        <v>0</v>
      </c>
      <c r="K26" s="4"/>
      <c r="L26" s="4">
        <f t="shared" ref="L26:L27" si="12">+D26-H26</f>
        <v>0</v>
      </c>
      <c r="M26" s="4"/>
      <c r="N26" s="12">
        <f t="shared" ref="N26:N27" si="13">IF(H26=0,0,L26/H26)</f>
        <v>0</v>
      </c>
      <c r="O26" s="10"/>
      <c r="P26" s="4">
        <f>SUM(OSRRefP16x_0)</f>
        <v>8.26</v>
      </c>
      <c r="Q26" s="4"/>
      <c r="R26" s="12">
        <f t="shared" ref="R26:R27" si="14">IF(P$12=0,0,P26/P$12)</f>
        <v>6.7571188005377875E-5</v>
      </c>
      <c r="S26" s="4"/>
      <c r="T26" s="4">
        <f>SUM(OSRRefT16x_0)</f>
        <v>0</v>
      </c>
      <c r="U26" s="4"/>
      <c r="V26" s="12">
        <f t="shared" ref="V26:V27" si="15">IF(T$12=0,0,T26/T$12)</f>
        <v>0</v>
      </c>
      <c r="W26" s="4"/>
      <c r="X26" s="4">
        <f t="shared" ref="X26:X27" si="16">+P26-T26</f>
        <v>8.26</v>
      </c>
      <c r="Y26" s="4"/>
      <c r="Z26" s="12">
        <f t="shared" ref="Z26:Z27" si="17">IF(T26=0,0,X26/T26)</f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/>
      <c r="E27" s="2"/>
      <c r="F27" s="19">
        <f t="shared" si="10"/>
        <v>0</v>
      </c>
      <c r="G27" s="2"/>
      <c r="H27" s="2"/>
      <c r="I27" s="2"/>
      <c r="J27" s="19">
        <f t="shared" si="11"/>
        <v>0</v>
      </c>
      <c r="K27" s="2"/>
      <c r="L27" s="2">
        <f t="shared" si="12"/>
        <v>0</v>
      </c>
      <c r="M27" s="2"/>
      <c r="N27" s="19">
        <f t="shared" si="13"/>
        <v>0</v>
      </c>
      <c r="O27" s="11"/>
      <c r="P27" s="2">
        <v>8.26</v>
      </c>
      <c r="Q27" s="2"/>
      <c r="R27" s="19">
        <f t="shared" si="14"/>
        <v>6.7571188005377875E-5</v>
      </c>
      <c r="S27" s="2"/>
      <c r="T27" s="2"/>
      <c r="U27" s="2"/>
      <c r="V27" s="19">
        <f t="shared" si="15"/>
        <v>0</v>
      </c>
      <c r="W27" s="2"/>
      <c r="X27" s="2">
        <f t="shared" si="16"/>
        <v>8.26</v>
      </c>
      <c r="Y27" s="2"/>
      <c r="Z27" s="19">
        <f t="shared" si="17"/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5" t="s">
        <v>107</v>
      </c>
      <c r="C29" s="25"/>
      <c r="D29" s="21">
        <f>D12-D26</f>
        <v>23282.739999999998</v>
      </c>
      <c r="E29" s="13"/>
      <c r="F29" s="22">
        <f>IF(D$12=0,0,D29/D$12)</f>
        <v>1</v>
      </c>
      <c r="G29" s="13"/>
      <c r="H29" s="21">
        <f>H12-H26</f>
        <v>29576.499999999996</v>
      </c>
      <c r="I29" s="13"/>
      <c r="J29" s="22">
        <f>IF(H$12=0,0,H29/H$12)</f>
        <v>1</v>
      </c>
      <c r="K29" s="15"/>
      <c r="L29" s="21">
        <f>+D29-H29</f>
        <v>-6293.7599999999984</v>
      </c>
      <c r="M29" s="15"/>
      <c r="N29" s="22">
        <f>IF(H29=0,0,L29/H29)</f>
        <v>-0.21279596977329973</v>
      </c>
      <c r="O29" s="26"/>
      <c r="P29" s="21">
        <f>P12-P26</f>
        <v>122233.19</v>
      </c>
      <c r="Q29" s="13"/>
      <c r="R29" s="22">
        <f>IF(P$12=0,0,P29/P$12)</f>
        <v>0.99993242881199462</v>
      </c>
      <c r="S29" s="13"/>
      <c r="T29" s="21">
        <f>T12-T26</f>
        <v>104406.22</v>
      </c>
      <c r="U29" s="13"/>
      <c r="V29" s="22">
        <f>IF(T$12=0,0,T29/T$12)</f>
        <v>1</v>
      </c>
      <c r="W29" s="15"/>
      <c r="X29" s="21">
        <f>+P29-T29</f>
        <v>17826.97</v>
      </c>
      <c r="Y29" s="15"/>
      <c r="Z29" s="22">
        <f>IF(T29=0,0,X29/T29)</f>
        <v>0.17074624481185124</v>
      </c>
    </row>
    <row r="30" spans="1:26" x14ac:dyDescent="0.3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6" t="s">
        <v>294</v>
      </c>
      <c r="C31" s="10"/>
      <c r="D31" s="20">
        <f>SUM(OSRRefD22x_0)</f>
        <v>19051.819999999996</v>
      </c>
      <c r="E31" s="20"/>
      <c r="F31" s="30">
        <f t="shared" ref="F31:F40" si="18">IF(D$12=0,0,D31/D$12)</f>
        <v>0.81828083808005403</v>
      </c>
      <c r="G31" s="20"/>
      <c r="H31" s="20">
        <f>SUM(OSRRefH22x_0)</f>
        <v>18107.289999999994</v>
      </c>
      <c r="I31" s="20"/>
      <c r="J31" s="30">
        <f t="shared" ref="J31:J40" si="19">IF(H$12=0,0,H31/H$12)</f>
        <v>0.61221882237587255</v>
      </c>
      <c r="K31" s="4"/>
      <c r="L31" s="20">
        <f t="shared" ref="L31:L40" si="20">+D31-H31</f>
        <v>944.53000000000247</v>
      </c>
      <c r="M31" s="4"/>
      <c r="N31" s="30">
        <f t="shared" ref="N31:N40" si="21">IF(H31=0,0,L31/H31)</f>
        <v>5.2162968616507648E-2</v>
      </c>
      <c r="O31" s="10"/>
      <c r="P31" s="20">
        <f>SUM(OSRRefP22x_0)</f>
        <v>162049.65999999997</v>
      </c>
      <c r="Q31" s="20"/>
      <c r="R31" s="30">
        <f t="shared" ref="R31:R40" si="22">IF(P$12=0,0,P31/P$12)</f>
        <v>1.325652305335056</v>
      </c>
      <c r="S31" s="20"/>
      <c r="T31" s="20">
        <f>SUM(OSRRefT22x_0)</f>
        <v>210231.74999999994</v>
      </c>
      <c r="U31" s="20"/>
      <c r="V31" s="30">
        <f t="shared" ref="V31:V40" si="23">IF(T$12=0,0,T31/T$12)</f>
        <v>2.0135941134541597</v>
      </c>
      <c r="W31" s="4"/>
      <c r="X31" s="20">
        <f t="shared" ref="X31:X40" si="24">+P31-T31</f>
        <v>-48182.089999999967</v>
      </c>
      <c r="Y31" s="4"/>
      <c r="Z31" s="30">
        <f t="shared" ref="Z31:Z40" si="25">IF(T31=0,0,X31/T31)</f>
        <v>-0.22918560112827857</v>
      </c>
    </row>
    <row r="32" spans="1:26" s="29" customFormat="1" outlineLevel="1" collapsed="1" x14ac:dyDescent="0.3">
      <c r="A32" s="28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5896.13</v>
      </c>
      <c r="E32" s="1"/>
      <c r="F32" s="5">
        <f t="shared" si="18"/>
        <v>0.25324038321950082</v>
      </c>
      <c r="G32" s="1"/>
      <c r="H32" s="1">
        <f>SUM(OSRRefH22_0x_0)</f>
        <v>11976.35</v>
      </c>
      <c r="I32" s="1"/>
      <c r="J32" s="5">
        <f t="shared" si="19"/>
        <v>0.40492789883860503</v>
      </c>
      <c r="K32" s="1"/>
      <c r="L32" s="1">
        <f t="shared" si="20"/>
        <v>-6080.22</v>
      </c>
      <c r="M32" s="1"/>
      <c r="N32" s="5">
        <f t="shared" si="21"/>
        <v>-0.5076855636316574</v>
      </c>
      <c r="O32" s="14"/>
      <c r="P32" s="1">
        <f>SUM(OSRRefP22_0x_0)</f>
        <v>58243.55000000001</v>
      </c>
      <c r="Q32" s="1"/>
      <c r="R32" s="5">
        <f t="shared" si="22"/>
        <v>0.47646318004244886</v>
      </c>
      <c r="S32" s="1"/>
      <c r="T32" s="1">
        <f>SUM(OSRRefT22_0x_0)</f>
        <v>66685.219999999987</v>
      </c>
      <c r="U32" s="1"/>
      <c r="V32" s="5">
        <f t="shared" si="23"/>
        <v>0.63870926463959699</v>
      </c>
      <c r="W32" s="1"/>
      <c r="X32" s="1">
        <f t="shared" si="24"/>
        <v>-8441.6699999999764</v>
      </c>
      <c r="Y32" s="1"/>
      <c r="Z32" s="5">
        <f t="shared" si="25"/>
        <v>-0.12658982005307889</v>
      </c>
    </row>
    <row r="33" spans="1:26" s="24" customFormat="1" hidden="1" outlineLevel="2" x14ac:dyDescent="0.3">
      <c r="A33" s="27"/>
      <c r="B33" s="11" t="str">
        <f>CONCATENATE("          ", "6111", " - ", "F.I.C.A.")</f>
        <v xml:space="preserve">          6111 - F.I.C.A.</v>
      </c>
      <c r="C33" s="11"/>
      <c r="D33" s="7">
        <v>681.32</v>
      </c>
      <c r="E33" s="2"/>
      <c r="F33" s="6">
        <f t="shared" si="18"/>
        <v>2.9262878853605723E-2</v>
      </c>
      <c r="G33" s="2"/>
      <c r="H33" s="7">
        <v>1213.6400000000001</v>
      </c>
      <c r="I33" s="2"/>
      <c r="J33" s="6">
        <f t="shared" si="19"/>
        <v>4.1033928963873353E-2</v>
      </c>
      <c r="K33" s="2"/>
      <c r="L33" s="7">
        <f t="shared" si="20"/>
        <v>-532.32000000000005</v>
      </c>
      <c r="M33" s="2"/>
      <c r="N33" s="6">
        <f t="shared" si="21"/>
        <v>-0.43861441613658086</v>
      </c>
      <c r="O33" s="11"/>
      <c r="P33" s="7">
        <v>9843.61</v>
      </c>
      <c r="Q33" s="2"/>
      <c r="R33" s="6">
        <f t="shared" si="22"/>
        <v>8.0525959075256393E-2</v>
      </c>
      <c r="S33" s="2"/>
      <c r="T33" s="7">
        <v>9040.41</v>
      </c>
      <c r="U33" s="2"/>
      <c r="V33" s="6">
        <f t="shared" si="23"/>
        <v>8.6588806682207239E-2</v>
      </c>
      <c r="W33" s="2"/>
      <c r="X33" s="7">
        <f t="shared" si="24"/>
        <v>803.20000000000073</v>
      </c>
      <c r="Y33" s="2"/>
      <c r="Z33" s="6">
        <f t="shared" si="25"/>
        <v>8.8845528023618475E-2</v>
      </c>
    </row>
    <row r="34" spans="1:26" s="24" customFormat="1" hidden="1" outlineLevel="2" x14ac:dyDescent="0.3">
      <c r="A34" s="27"/>
      <c r="B34" s="11" t="str">
        <f>CONCATENATE("          ", "6112", " - ", "COMPENSATION INSURANCE")</f>
        <v xml:space="preserve">          6112 - COMPENSATION INSURANCE</v>
      </c>
      <c r="C34" s="11"/>
      <c r="D34" s="7">
        <v>164.86</v>
      </c>
      <c r="E34" s="2"/>
      <c r="F34" s="6">
        <f t="shared" si="18"/>
        <v>7.0807817292981856E-3</v>
      </c>
      <c r="G34" s="2"/>
      <c r="H34" s="7">
        <v>61.08</v>
      </c>
      <c r="I34" s="2"/>
      <c r="J34" s="6">
        <f t="shared" si="19"/>
        <v>2.0651530776122939E-3</v>
      </c>
      <c r="K34" s="2"/>
      <c r="L34" s="7">
        <f t="shared" si="20"/>
        <v>103.78000000000002</v>
      </c>
      <c r="M34" s="2"/>
      <c r="N34" s="6">
        <f t="shared" si="21"/>
        <v>1.6990831696136217</v>
      </c>
      <c r="O34" s="11"/>
      <c r="P34" s="7">
        <v>2174.92</v>
      </c>
      <c r="Q34" s="2"/>
      <c r="R34" s="6">
        <f t="shared" si="22"/>
        <v>1.7792000994752599E-2</v>
      </c>
      <c r="S34" s="2"/>
      <c r="T34" s="7">
        <v>2405.0300000000002</v>
      </c>
      <c r="U34" s="2"/>
      <c r="V34" s="6">
        <f t="shared" si="23"/>
        <v>2.303531341331963E-2</v>
      </c>
      <c r="W34" s="2"/>
      <c r="X34" s="7">
        <f t="shared" si="24"/>
        <v>-230.11000000000013</v>
      </c>
      <c r="Y34" s="2"/>
      <c r="Z34" s="6">
        <f t="shared" si="25"/>
        <v>-9.5678640183282579E-2</v>
      </c>
    </row>
    <row r="35" spans="1:26" s="24" customFormat="1" hidden="1" outlineLevel="2" x14ac:dyDescent="0.3">
      <c r="A35" s="27"/>
      <c r="B35" s="11" t="str">
        <f>CONCATENATE("          ", "6113", " - ", "GROUP INSURANCE")</f>
        <v xml:space="preserve">          6113 - GROUP INSURANCE</v>
      </c>
      <c r="C35" s="11"/>
      <c r="D35" s="7">
        <v>1287</v>
      </c>
      <c r="E35" s="2"/>
      <c r="F35" s="6">
        <f t="shared" si="18"/>
        <v>5.5276999184803853E-2</v>
      </c>
      <c r="G35" s="2"/>
      <c r="H35" s="7">
        <v>6051.48</v>
      </c>
      <c r="I35" s="2"/>
      <c r="J35" s="6">
        <f t="shared" si="19"/>
        <v>0.20460433114127771</v>
      </c>
      <c r="K35" s="2"/>
      <c r="L35" s="7">
        <f t="shared" si="20"/>
        <v>-4764.4799999999996</v>
      </c>
      <c r="M35" s="2"/>
      <c r="N35" s="6">
        <f t="shared" si="21"/>
        <v>-0.7873247536139919</v>
      </c>
      <c r="O35" s="11"/>
      <c r="P35" s="7">
        <v>19173.02</v>
      </c>
      <c r="Q35" s="2"/>
      <c r="R35" s="6">
        <f t="shared" si="22"/>
        <v>0.15684548898920947</v>
      </c>
      <c r="S35" s="2"/>
      <c r="T35" s="7">
        <v>25792.81</v>
      </c>
      <c r="U35" s="2"/>
      <c r="V35" s="6">
        <f t="shared" si="23"/>
        <v>0.2470428485965683</v>
      </c>
      <c r="W35" s="2"/>
      <c r="X35" s="7">
        <f t="shared" si="24"/>
        <v>-6619.7900000000009</v>
      </c>
      <c r="Y35" s="2"/>
      <c r="Z35" s="6">
        <f t="shared" si="25"/>
        <v>-0.25665253223669698</v>
      </c>
    </row>
    <row r="36" spans="1:26" s="24" customFormat="1" hidden="1" outlineLevel="2" x14ac:dyDescent="0.3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7">
        <v>28.96</v>
      </c>
      <c r="E36" s="2"/>
      <c r="F36" s="6">
        <f t="shared" si="18"/>
        <v>1.243839857336379E-3</v>
      </c>
      <c r="G36" s="2"/>
      <c r="H36" s="7">
        <v>86.81</v>
      </c>
      <c r="I36" s="2"/>
      <c r="J36" s="6">
        <f t="shared" si="19"/>
        <v>2.9351005020878066E-3</v>
      </c>
      <c r="K36" s="2"/>
      <c r="L36" s="7">
        <f t="shared" si="20"/>
        <v>-57.85</v>
      </c>
      <c r="M36" s="2"/>
      <c r="N36" s="6">
        <f t="shared" si="21"/>
        <v>-0.6663978804285221</v>
      </c>
      <c r="O36" s="11"/>
      <c r="P36" s="7">
        <v>382.08</v>
      </c>
      <c r="Q36" s="2"/>
      <c r="R36" s="6">
        <f t="shared" si="22"/>
        <v>3.1256173744666806E-3</v>
      </c>
      <c r="S36" s="2"/>
      <c r="T36" s="7">
        <v>337.99</v>
      </c>
      <c r="U36" s="2"/>
      <c r="V36" s="6">
        <f t="shared" si="23"/>
        <v>3.2372592360876582E-3</v>
      </c>
      <c r="W36" s="2"/>
      <c r="X36" s="7">
        <f t="shared" si="24"/>
        <v>44.089999999999975</v>
      </c>
      <c r="Y36" s="2"/>
      <c r="Z36" s="6">
        <f t="shared" si="25"/>
        <v>0.13044764638007034</v>
      </c>
    </row>
    <row r="37" spans="1:26" s="24" customFormat="1" hidden="1" outlineLevel="2" x14ac:dyDescent="0.3">
      <c r="A37" s="27"/>
      <c r="B37" s="11" t="str">
        <f>CONCATENATE("          ", "6115", " - ", "P.E.R.S.")</f>
        <v xml:space="preserve">          6115 - P.E.R.S.</v>
      </c>
      <c r="C37" s="11"/>
      <c r="D37" s="7">
        <v>834.08</v>
      </c>
      <c r="E37" s="2"/>
      <c r="F37" s="6">
        <f t="shared" si="18"/>
        <v>3.5823962299969855E-2</v>
      </c>
      <c r="G37" s="2"/>
      <c r="H37" s="7">
        <v>2421.6799999999998</v>
      </c>
      <c r="I37" s="2"/>
      <c r="J37" s="6">
        <f t="shared" si="19"/>
        <v>8.1878518418338889E-2</v>
      </c>
      <c r="K37" s="2"/>
      <c r="L37" s="7">
        <f t="shared" si="20"/>
        <v>-1587.6</v>
      </c>
      <c r="M37" s="2"/>
      <c r="N37" s="6">
        <f t="shared" si="21"/>
        <v>-0.65557794588880447</v>
      </c>
      <c r="O37" s="11"/>
      <c r="P37" s="7">
        <v>12480.12</v>
      </c>
      <c r="Q37" s="2"/>
      <c r="R37" s="6">
        <f t="shared" si="22"/>
        <v>0.1020940114830117</v>
      </c>
      <c r="S37" s="2"/>
      <c r="T37" s="7">
        <v>12485.89</v>
      </c>
      <c r="U37" s="2"/>
      <c r="V37" s="6">
        <f t="shared" si="23"/>
        <v>0.11958952253994062</v>
      </c>
      <c r="W37" s="2"/>
      <c r="X37" s="7">
        <f t="shared" si="24"/>
        <v>-5.7699999999986176</v>
      </c>
      <c r="Y37" s="2"/>
      <c r="Z37" s="6">
        <f t="shared" si="25"/>
        <v>-4.6212164291040668E-4</v>
      </c>
    </row>
    <row r="38" spans="1:26" s="24" customFormat="1" hidden="1" outlineLevel="2" x14ac:dyDescent="0.3">
      <c r="A38" s="27"/>
      <c r="B38" s="11" t="str">
        <f>CONCATENATE("          ", "6118", " - ", "VACATION")</f>
        <v xml:space="preserve">          6118 - VACATION</v>
      </c>
      <c r="C38" s="11"/>
      <c r="D38" s="7">
        <v>1001.59</v>
      </c>
      <c r="E38" s="2"/>
      <c r="F38" s="6">
        <f t="shared" si="18"/>
        <v>4.301856224825773E-2</v>
      </c>
      <c r="G38" s="2"/>
      <c r="H38" s="7">
        <v>1216.0999999999999</v>
      </c>
      <c r="I38" s="2"/>
      <c r="J38" s="6">
        <f t="shared" si="19"/>
        <v>4.1117103105506064E-2</v>
      </c>
      <c r="K38" s="2"/>
      <c r="L38" s="7">
        <f t="shared" si="20"/>
        <v>-214.50999999999988</v>
      </c>
      <c r="M38" s="2"/>
      <c r="N38" s="6">
        <f t="shared" si="21"/>
        <v>-0.1763917440999917</v>
      </c>
      <c r="O38" s="11"/>
      <c r="P38" s="7">
        <v>6244.15</v>
      </c>
      <c r="Q38" s="2"/>
      <c r="R38" s="6">
        <f t="shared" si="22"/>
        <v>5.1080464114259115E-2</v>
      </c>
      <c r="S38" s="2"/>
      <c r="T38" s="7">
        <v>8883.5300000000007</v>
      </c>
      <c r="U38" s="2"/>
      <c r="V38" s="6">
        <f t="shared" si="23"/>
        <v>8.508621421214177E-2</v>
      </c>
      <c r="W38" s="2"/>
      <c r="X38" s="7">
        <f t="shared" si="24"/>
        <v>-2639.380000000001</v>
      </c>
      <c r="Y38" s="2"/>
      <c r="Z38" s="6">
        <f t="shared" si="25"/>
        <v>-0.29710936981132507</v>
      </c>
    </row>
    <row r="39" spans="1:26" s="24" customFormat="1" hidden="1" outlineLevel="2" x14ac:dyDescent="0.3">
      <c r="A39" s="27"/>
      <c r="B39" s="11" t="str">
        <f>CONCATENATE("          ", "6119", " - ", "SICK LEAVE")</f>
        <v xml:space="preserve">          6119 - SICK LEAVE</v>
      </c>
      <c r="C39" s="11"/>
      <c r="D39" s="7">
        <v>1509.53</v>
      </c>
      <c r="E39" s="2"/>
      <c r="F39" s="6">
        <f t="shared" si="18"/>
        <v>6.4834723060945579E-2</v>
      </c>
      <c r="G39" s="2"/>
      <c r="H39" s="7">
        <v>738.5</v>
      </c>
      <c r="I39" s="2"/>
      <c r="J39" s="6">
        <f t="shared" si="19"/>
        <v>2.4969147803154533E-2</v>
      </c>
      <c r="K39" s="2"/>
      <c r="L39" s="7">
        <f t="shared" si="20"/>
        <v>771.03</v>
      </c>
      <c r="M39" s="2"/>
      <c r="N39" s="6">
        <f t="shared" si="21"/>
        <v>1.0440487474610698</v>
      </c>
      <c r="O39" s="11"/>
      <c r="P39" s="7">
        <v>4964.66</v>
      </c>
      <c r="Q39" s="2"/>
      <c r="R39" s="6">
        <f t="shared" si="22"/>
        <v>4.0613556203726316E-2</v>
      </c>
      <c r="S39" s="2"/>
      <c r="T39" s="7">
        <v>5432.77</v>
      </c>
      <c r="U39" s="2"/>
      <c r="V39" s="6">
        <f t="shared" si="23"/>
        <v>5.2034926654752948E-2</v>
      </c>
      <c r="W39" s="2"/>
      <c r="X39" s="7">
        <f t="shared" si="24"/>
        <v>-468.11000000000058</v>
      </c>
      <c r="Y39" s="2"/>
      <c r="Z39" s="6">
        <f t="shared" si="25"/>
        <v>-8.6164148307401295E-2</v>
      </c>
    </row>
    <row r="40" spans="1:26" s="24" customFormat="1" hidden="1" outlineLevel="2" x14ac:dyDescent="0.3">
      <c r="A40" s="27"/>
      <c r="B40" s="11" t="str">
        <f>CONCATENATE("          ", "6156", " - ", "EMPLOYEE MEALS")</f>
        <v xml:space="preserve">          6156 - EMPLOYEE MEALS</v>
      </c>
      <c r="C40" s="11"/>
      <c r="D40" s="7">
        <v>388.79</v>
      </c>
      <c r="E40" s="2"/>
      <c r="F40" s="6">
        <f t="shared" si="18"/>
        <v>1.6698635985283521E-2</v>
      </c>
      <c r="G40" s="2"/>
      <c r="H40" s="7">
        <v>187.06</v>
      </c>
      <c r="I40" s="2"/>
      <c r="J40" s="6">
        <f t="shared" si="19"/>
        <v>6.3246158267543495E-3</v>
      </c>
      <c r="K40" s="2"/>
      <c r="L40" s="7">
        <f t="shared" si="20"/>
        <v>201.73000000000002</v>
      </c>
      <c r="M40" s="2"/>
      <c r="N40" s="6">
        <f t="shared" si="21"/>
        <v>1.078424035068962</v>
      </c>
      <c r="O40" s="11"/>
      <c r="P40" s="7">
        <v>2980.99</v>
      </c>
      <c r="Q40" s="2"/>
      <c r="R40" s="6">
        <f t="shared" si="22"/>
        <v>2.4386081807766514E-2</v>
      </c>
      <c r="S40" s="2"/>
      <c r="T40" s="7">
        <v>2306.79</v>
      </c>
      <c r="U40" s="2"/>
      <c r="V40" s="6">
        <f t="shared" si="23"/>
        <v>2.2094373304578981E-2</v>
      </c>
      <c r="W40" s="2"/>
      <c r="X40" s="7">
        <f t="shared" si="24"/>
        <v>674.19999999999982</v>
      </c>
      <c r="Y40" s="2"/>
      <c r="Z40" s="6">
        <f t="shared" si="25"/>
        <v>0.29226760996883105</v>
      </c>
    </row>
    <row r="41" spans="1:26" s="29" customFormat="1" outlineLevel="1" collapsed="1" x14ac:dyDescent="0.3">
      <c r="A41" s="28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13111.52</v>
      </c>
      <c r="E41" s="1"/>
      <c r="F41" s="5">
        <f t="shared" ref="F41:F44" si="26">IF(D$12=0,0,D41/D$12)</f>
        <v>0.56314334137648758</v>
      </c>
      <c r="G41" s="1"/>
      <c r="H41" s="1">
        <f>SUM(OSRRefH22_1x_0)</f>
        <v>20840.240000000002</v>
      </c>
      <c r="I41" s="1"/>
      <c r="J41" s="5">
        <f t="shared" ref="J41:J44" si="27">IF(H$12=0,0,H41/H$12)</f>
        <v>0.70462157456088459</v>
      </c>
      <c r="K41" s="1"/>
      <c r="L41" s="1">
        <f t="shared" ref="L41:L44" si="28">+D41-H41</f>
        <v>-7728.7200000000012</v>
      </c>
      <c r="M41" s="1"/>
      <c r="N41" s="5">
        <f t="shared" ref="N41:N44" si="29">IF(H41=0,0,L41/H41)</f>
        <v>-0.37085561394686434</v>
      </c>
      <c r="O41" s="14"/>
      <c r="P41" s="1">
        <f>SUM(OSRRefP22_1x_0)</f>
        <v>101173.1</v>
      </c>
      <c r="Q41" s="1"/>
      <c r="R41" s="5">
        <f t="shared" ref="R41:R44" si="30">IF(P$12=0,0,P41/P$12)</f>
        <v>0.82764970474417643</v>
      </c>
      <c r="S41" s="1"/>
      <c r="T41" s="1">
        <f>SUM(OSRRefT22_1x_0)</f>
        <v>108103.56999999999</v>
      </c>
      <c r="U41" s="1"/>
      <c r="V41" s="5">
        <f t="shared" ref="V41:V44" si="31">IF(T$12=0,0,T41/T$12)</f>
        <v>1.0354131200229257</v>
      </c>
      <c r="W41" s="1"/>
      <c r="X41" s="1">
        <f t="shared" ref="X41:X44" si="32">+P41-T41</f>
        <v>-6930.4699999999866</v>
      </c>
      <c r="Y41" s="1"/>
      <c r="Z41" s="5">
        <f t="shared" ref="Z41:Z44" si="33">IF(T41=0,0,X41/T41)</f>
        <v>-6.410953865815891E-2</v>
      </c>
    </row>
    <row r="42" spans="1:26" s="24" customFormat="1" hidden="1" outlineLevel="2" x14ac:dyDescent="0.3">
      <c r="A42" s="27"/>
      <c r="B42" s="11" t="str">
        <f>CONCATENATE("          ", "6002", " - ", "STAFF SALARIES")</f>
        <v xml:space="preserve">          6002 - STAFF SALARIES</v>
      </c>
      <c r="C42" s="11"/>
      <c r="D42" s="7">
        <v>10145.64</v>
      </c>
      <c r="E42" s="2"/>
      <c r="F42" s="6">
        <f t="shared" si="26"/>
        <v>0.43575799068322718</v>
      </c>
      <c r="G42" s="2"/>
      <c r="H42" s="7">
        <v>19715.72</v>
      </c>
      <c r="I42" s="2"/>
      <c r="J42" s="6">
        <f t="shared" si="27"/>
        <v>0.66660084864672975</v>
      </c>
      <c r="K42" s="2"/>
      <c r="L42" s="7">
        <f t="shared" si="28"/>
        <v>-9570.0800000000017</v>
      </c>
      <c r="M42" s="2"/>
      <c r="N42" s="6">
        <f t="shared" si="29"/>
        <v>-0.48540352571450607</v>
      </c>
      <c r="O42" s="11"/>
      <c r="P42" s="7">
        <v>84169.81</v>
      </c>
      <c r="Q42" s="2"/>
      <c r="R42" s="6">
        <f t="shared" si="30"/>
        <v>0.68855375979260713</v>
      </c>
      <c r="S42" s="2"/>
      <c r="T42" s="7">
        <v>102746.43</v>
      </c>
      <c r="U42" s="2"/>
      <c r="V42" s="6">
        <f t="shared" si="31"/>
        <v>0.98410257549789648</v>
      </c>
      <c r="W42" s="2"/>
      <c r="X42" s="7">
        <f t="shared" si="32"/>
        <v>-18576.619999999995</v>
      </c>
      <c r="Y42" s="2"/>
      <c r="Z42" s="6">
        <f t="shared" si="33"/>
        <v>-0.18080063706349697</v>
      </c>
    </row>
    <row r="43" spans="1:26" s="24" customFormat="1" hidden="1" outlineLevel="2" x14ac:dyDescent="0.3">
      <c r="A43" s="27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6"/>
        <v>0</v>
      </c>
      <c r="G43" s="2"/>
      <c r="H43" s="7"/>
      <c r="I43" s="2"/>
      <c r="J43" s="6">
        <f t="shared" si="27"/>
        <v>0</v>
      </c>
      <c r="K43" s="2"/>
      <c r="L43" s="7">
        <f t="shared" si="28"/>
        <v>0</v>
      </c>
      <c r="M43" s="2"/>
      <c r="N43" s="6">
        <f t="shared" si="29"/>
        <v>0</v>
      </c>
      <c r="O43" s="11"/>
      <c r="P43" s="7"/>
      <c r="Q43" s="2"/>
      <c r="R43" s="6">
        <f t="shared" si="30"/>
        <v>0</v>
      </c>
      <c r="S43" s="2"/>
      <c r="T43" s="7">
        <v>383.25</v>
      </c>
      <c r="U43" s="2"/>
      <c r="V43" s="6">
        <f t="shared" si="31"/>
        <v>3.6707583130583597E-3</v>
      </c>
      <c r="W43" s="2"/>
      <c r="X43" s="7">
        <f t="shared" si="32"/>
        <v>-383.25</v>
      </c>
      <c r="Y43" s="2"/>
      <c r="Z43" s="6">
        <f t="shared" si="33"/>
        <v>-1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2965.88</v>
      </c>
      <c r="E44" s="2"/>
      <c r="F44" s="6">
        <f t="shared" si="26"/>
        <v>0.12738535069326035</v>
      </c>
      <c r="G44" s="2"/>
      <c r="H44" s="7">
        <v>1124.52</v>
      </c>
      <c r="I44" s="2"/>
      <c r="J44" s="6">
        <f t="shared" si="27"/>
        <v>3.802072591415482E-2</v>
      </c>
      <c r="K44" s="2"/>
      <c r="L44" s="7">
        <f t="shared" si="28"/>
        <v>1841.3600000000001</v>
      </c>
      <c r="M44" s="2"/>
      <c r="N44" s="6">
        <f t="shared" si="29"/>
        <v>1.6374630953651337</v>
      </c>
      <c r="O44" s="11"/>
      <c r="P44" s="7">
        <v>17003.29</v>
      </c>
      <c r="Q44" s="2"/>
      <c r="R44" s="6">
        <f t="shared" si="30"/>
        <v>0.13909594495156921</v>
      </c>
      <c r="S44" s="2"/>
      <c r="T44" s="7">
        <v>4973.8900000000003</v>
      </c>
      <c r="U44" s="2"/>
      <c r="V44" s="6">
        <f t="shared" si="31"/>
        <v>4.7639786211970896E-2</v>
      </c>
      <c r="W44" s="2"/>
      <c r="X44" s="7">
        <f t="shared" si="32"/>
        <v>12029.400000000001</v>
      </c>
      <c r="Y44" s="2"/>
      <c r="Z44" s="6">
        <f t="shared" si="33"/>
        <v>2.4185094563812228</v>
      </c>
    </row>
    <row r="45" spans="1:26" s="29" customFormat="1" outlineLevel="1" collapsed="1" x14ac:dyDescent="0.3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44.1</v>
      </c>
      <c r="E45" s="1"/>
      <c r="F45" s="5">
        <f t="shared" ref="F45:F55" si="34">IF(D$12=0,0,D45/D$12)</f>
        <v>1.8941069650736987E-3</v>
      </c>
      <c r="G45" s="1"/>
      <c r="H45" s="1">
        <f>SUM(OSRRefH22_2x_0)</f>
        <v>0</v>
      </c>
      <c r="I45" s="1"/>
      <c r="J45" s="5">
        <f t="shared" ref="J45:J55" si="35">IF(H$12=0,0,H45/H$12)</f>
        <v>0</v>
      </c>
      <c r="K45" s="1"/>
      <c r="L45" s="1">
        <f t="shared" ref="L45:L55" si="36">+D45-H45</f>
        <v>44.1</v>
      </c>
      <c r="M45" s="1"/>
      <c r="N45" s="5">
        <f t="shared" ref="N45:N55" si="37">IF(H45=0,0,L45/H45)</f>
        <v>0</v>
      </c>
      <c r="O45" s="14"/>
      <c r="P45" s="1">
        <f>SUM(OSRRefP22_2x_0)</f>
        <v>141.85</v>
      </c>
      <c r="Q45" s="1"/>
      <c r="R45" s="5">
        <f t="shared" ref="R45:R55" si="38">IF(P$12=0,0,P45/P$12)</f>
        <v>1.1604083557582145E-3</v>
      </c>
      <c r="S45" s="1"/>
      <c r="T45" s="1">
        <f>SUM(OSRRefT22_2x_0)</f>
        <v>0</v>
      </c>
      <c r="U45" s="1"/>
      <c r="V45" s="5">
        <f t="shared" ref="V45:V55" si="39">IF(T$12=0,0,T45/T$12)</f>
        <v>0</v>
      </c>
      <c r="W45" s="1"/>
      <c r="X45" s="1">
        <f t="shared" ref="X45:X55" si="40">+P45-T45</f>
        <v>141.85</v>
      </c>
      <c r="Y45" s="1"/>
      <c r="Z45" s="5">
        <f t="shared" ref="Z45:Z55" si="41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7">
        <v>44.1</v>
      </c>
      <c r="E46" s="2"/>
      <c r="F46" s="6">
        <f t="shared" si="34"/>
        <v>1.8941069650736987E-3</v>
      </c>
      <c r="G46" s="2"/>
      <c r="H46" s="7"/>
      <c r="I46" s="2"/>
      <c r="J46" s="6">
        <f t="shared" si="35"/>
        <v>0</v>
      </c>
      <c r="K46" s="2"/>
      <c r="L46" s="7">
        <f t="shared" si="36"/>
        <v>44.1</v>
      </c>
      <c r="M46" s="2"/>
      <c r="N46" s="6">
        <f t="shared" si="37"/>
        <v>0</v>
      </c>
      <c r="O46" s="11"/>
      <c r="P46" s="7">
        <v>141.85</v>
      </c>
      <c r="Q46" s="2"/>
      <c r="R46" s="6">
        <f t="shared" si="38"/>
        <v>1.1604083557582145E-3</v>
      </c>
      <c r="S46" s="2"/>
      <c r="T46" s="7"/>
      <c r="U46" s="2"/>
      <c r="V46" s="6">
        <f t="shared" si="39"/>
        <v>0</v>
      </c>
      <c r="W46" s="2"/>
      <c r="X46" s="7">
        <f t="shared" si="40"/>
        <v>141.85</v>
      </c>
      <c r="Y46" s="2"/>
      <c r="Z46" s="6">
        <f t="shared" si="41"/>
        <v>0</v>
      </c>
    </row>
    <row r="47" spans="1:26" s="29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SUM(OSRRefD22_3x_0)</f>
        <v>169.88</v>
      </c>
      <c r="E47" s="1"/>
      <c r="F47" s="5">
        <f t="shared" si="34"/>
        <v>7.2963920913088412E-3</v>
      </c>
      <c r="G47" s="1"/>
      <c r="H47" s="1">
        <f>SUM(OSRRefH22_3x_0)</f>
        <v>169.88</v>
      </c>
      <c r="I47" s="1"/>
      <c r="J47" s="5">
        <f t="shared" si="35"/>
        <v>5.743749260392542E-3</v>
      </c>
      <c r="K47" s="1"/>
      <c r="L47" s="1">
        <f t="shared" si="36"/>
        <v>0</v>
      </c>
      <c r="M47" s="1"/>
      <c r="N47" s="5">
        <f t="shared" si="37"/>
        <v>0</v>
      </c>
      <c r="O47" s="14"/>
      <c r="P47" s="1">
        <f>SUM(OSRRefP22_3x_0)</f>
        <v>1189.1600000000001</v>
      </c>
      <c r="Q47" s="1"/>
      <c r="R47" s="5">
        <f t="shared" si="38"/>
        <v>9.7279605240284707E-3</v>
      </c>
      <c r="S47" s="1"/>
      <c r="T47" s="1">
        <f>SUM(OSRRefT22_3x_0)</f>
        <v>1189.1600000000001</v>
      </c>
      <c r="U47" s="1"/>
      <c r="V47" s="5">
        <f t="shared" si="39"/>
        <v>1.1389742871641174E-2</v>
      </c>
      <c r="W47" s="1"/>
      <c r="X47" s="1">
        <f t="shared" si="40"/>
        <v>0</v>
      </c>
      <c r="Y47" s="1"/>
      <c r="Z47" s="5">
        <f t="shared" si="41"/>
        <v>0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169.88</v>
      </c>
      <c r="E48" s="2"/>
      <c r="F48" s="6">
        <f t="shared" si="34"/>
        <v>7.2963920913088412E-3</v>
      </c>
      <c r="G48" s="2"/>
      <c r="H48" s="7">
        <v>169.88</v>
      </c>
      <c r="I48" s="2"/>
      <c r="J48" s="6">
        <f t="shared" si="35"/>
        <v>5.743749260392542E-3</v>
      </c>
      <c r="K48" s="2"/>
      <c r="L48" s="7">
        <f t="shared" si="36"/>
        <v>0</v>
      </c>
      <c r="M48" s="2"/>
      <c r="N48" s="6">
        <f t="shared" si="37"/>
        <v>0</v>
      </c>
      <c r="O48" s="11"/>
      <c r="P48" s="7">
        <v>1189.1600000000001</v>
      </c>
      <c r="Q48" s="2"/>
      <c r="R48" s="6">
        <f t="shared" si="38"/>
        <v>9.7279605240284707E-3</v>
      </c>
      <c r="S48" s="2"/>
      <c r="T48" s="7">
        <v>1189.1600000000001</v>
      </c>
      <c r="U48" s="2"/>
      <c r="V48" s="6">
        <f t="shared" si="39"/>
        <v>1.1389742871641174E-2</v>
      </c>
      <c r="W48" s="2"/>
      <c r="X48" s="7">
        <f t="shared" si="40"/>
        <v>0</v>
      </c>
      <c r="Y48" s="2"/>
      <c r="Z48" s="6">
        <f t="shared" si="41"/>
        <v>0</v>
      </c>
    </row>
    <row r="49" spans="1:26" s="29" customFormat="1" outlineLevel="1" collapsed="1" x14ac:dyDescent="0.3">
      <c r="A49" s="28"/>
      <c r="B49" s="14" t="str">
        <f>CONCATENATE("     ","Discounts and Markdowns                           ")</f>
        <v xml:space="preserve">     Discounts and Markdowns                           </v>
      </c>
      <c r="C49" s="14"/>
      <c r="D49" s="1">
        <f>SUM(OSRRefD22_4x_0)</f>
        <v>0</v>
      </c>
      <c r="E49" s="1"/>
      <c r="F49" s="5">
        <f t="shared" si="34"/>
        <v>0</v>
      </c>
      <c r="G49" s="1"/>
      <c r="H49" s="1">
        <f>SUM(OSRRefH22_4x_0)</f>
        <v>0</v>
      </c>
      <c r="I49" s="1"/>
      <c r="J49" s="5">
        <f t="shared" si="35"/>
        <v>0</v>
      </c>
      <c r="K49" s="1"/>
      <c r="L49" s="1">
        <f t="shared" si="36"/>
        <v>0</v>
      </c>
      <c r="M49" s="1"/>
      <c r="N49" s="5">
        <f t="shared" si="37"/>
        <v>0</v>
      </c>
      <c r="O49" s="14"/>
      <c r="P49" s="1">
        <f>SUM(OSRRefP22_4x_0)</f>
        <v>0</v>
      </c>
      <c r="Q49" s="1"/>
      <c r="R49" s="5">
        <f t="shared" si="38"/>
        <v>0</v>
      </c>
      <c r="S49" s="1"/>
      <c r="T49" s="1">
        <f>SUM(OSRRefT22_4x_0)</f>
        <v>0</v>
      </c>
      <c r="U49" s="1"/>
      <c r="V49" s="5">
        <f t="shared" si="39"/>
        <v>0</v>
      </c>
      <c r="W49" s="1"/>
      <c r="X49" s="1">
        <f t="shared" si="40"/>
        <v>0</v>
      </c>
      <c r="Y49" s="1"/>
      <c r="Z49" s="5">
        <f t="shared" si="41"/>
        <v>0</v>
      </c>
    </row>
    <row r="50" spans="1:26" s="24" customFormat="1" hidden="1" outlineLevel="2" x14ac:dyDescent="0.3">
      <c r="A50" s="27"/>
      <c r="B50" s="11" t="str">
        <f>CONCATENATE("          ", "6382", " - ", "DISCOUNTS/MARK DOWNS")</f>
        <v xml:space="preserve">          6382 - DISCOUNTS/MARK DOWNS</v>
      </c>
      <c r="C50" s="11"/>
      <c r="D50" s="7"/>
      <c r="E50" s="2"/>
      <c r="F50" s="6">
        <f t="shared" si="34"/>
        <v>0</v>
      </c>
      <c r="G50" s="2"/>
      <c r="H50" s="7">
        <v>0</v>
      </c>
      <c r="I50" s="2"/>
      <c r="J50" s="6">
        <f t="shared" si="35"/>
        <v>0</v>
      </c>
      <c r="K50" s="2"/>
      <c r="L50" s="7">
        <f t="shared" si="36"/>
        <v>0</v>
      </c>
      <c r="M50" s="2"/>
      <c r="N50" s="6">
        <f t="shared" si="37"/>
        <v>0</v>
      </c>
      <c r="O50" s="11"/>
      <c r="P50" s="7"/>
      <c r="Q50" s="2"/>
      <c r="R50" s="6">
        <f t="shared" si="38"/>
        <v>0</v>
      </c>
      <c r="S50" s="2"/>
      <c r="T50" s="7">
        <v>0</v>
      </c>
      <c r="U50" s="2"/>
      <c r="V50" s="6">
        <f t="shared" si="39"/>
        <v>0</v>
      </c>
      <c r="W50" s="2"/>
      <c r="X50" s="7">
        <f t="shared" si="40"/>
        <v>0</v>
      </c>
      <c r="Y50" s="2"/>
      <c r="Z50" s="6">
        <f t="shared" si="41"/>
        <v>0</v>
      </c>
    </row>
    <row r="51" spans="1:26" s="29" customFormat="1" outlineLevel="1" collapsed="1" x14ac:dyDescent="0.3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SUM(OSRRefD22_5x_0)</f>
        <v>1296.9000000000001</v>
      </c>
      <c r="E51" s="1"/>
      <c r="F51" s="5">
        <f t="shared" si="34"/>
        <v>5.5702206870840813E-2</v>
      </c>
      <c r="G51" s="1"/>
      <c r="H51" s="1">
        <f>SUM(OSRRefH22_5x_0)</f>
        <v>1205.6400000000001</v>
      </c>
      <c r="I51" s="1"/>
      <c r="J51" s="5">
        <f t="shared" si="35"/>
        <v>4.0763443950433631E-2</v>
      </c>
      <c r="K51" s="1"/>
      <c r="L51" s="1">
        <f t="shared" si="36"/>
        <v>91.259999999999991</v>
      </c>
      <c r="M51" s="1"/>
      <c r="N51" s="5">
        <f t="shared" si="37"/>
        <v>7.5694237085697211E-2</v>
      </c>
      <c r="O51" s="14"/>
      <c r="P51" s="1">
        <f>SUM(OSRRefP22_5x_0)</f>
        <v>8530.74</v>
      </c>
      <c r="Q51" s="1"/>
      <c r="R51" s="5">
        <f t="shared" si="38"/>
        <v>6.9785985032081999E-2</v>
      </c>
      <c r="S51" s="1"/>
      <c r="T51" s="1">
        <f>SUM(OSRRefT22_5x_0)</f>
        <v>8439.48</v>
      </c>
      <c r="U51" s="1"/>
      <c r="V51" s="5">
        <f t="shared" si="39"/>
        <v>8.0833115115172258E-2</v>
      </c>
      <c r="W51" s="1"/>
      <c r="X51" s="1">
        <f t="shared" si="40"/>
        <v>91.260000000000218</v>
      </c>
      <c r="Y51" s="1"/>
      <c r="Z51" s="5">
        <f t="shared" si="41"/>
        <v>1.0813462440813916E-2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1296.9000000000001</v>
      </c>
      <c r="E52" s="2"/>
      <c r="F52" s="6">
        <f t="shared" si="34"/>
        <v>5.5702206870840813E-2</v>
      </c>
      <c r="G52" s="2"/>
      <c r="H52" s="7">
        <v>1205.6400000000001</v>
      </c>
      <c r="I52" s="2"/>
      <c r="J52" s="6">
        <f t="shared" si="35"/>
        <v>4.0763443950433631E-2</v>
      </c>
      <c r="K52" s="2"/>
      <c r="L52" s="7">
        <f t="shared" si="36"/>
        <v>91.259999999999991</v>
      </c>
      <c r="M52" s="2"/>
      <c r="N52" s="6">
        <f t="shared" si="37"/>
        <v>7.5694237085697211E-2</v>
      </c>
      <c r="O52" s="11"/>
      <c r="P52" s="7">
        <v>8530.74</v>
      </c>
      <c r="Q52" s="2"/>
      <c r="R52" s="6">
        <f t="shared" si="38"/>
        <v>6.9785985032081999E-2</v>
      </c>
      <c r="S52" s="2"/>
      <c r="T52" s="7">
        <v>8439.48</v>
      </c>
      <c r="U52" s="2"/>
      <c r="V52" s="6">
        <f t="shared" si="39"/>
        <v>8.0833115115172258E-2</v>
      </c>
      <c r="W52" s="2"/>
      <c r="X52" s="7">
        <f t="shared" si="40"/>
        <v>91.260000000000218</v>
      </c>
      <c r="Y52" s="2"/>
      <c r="Z52" s="6">
        <f t="shared" si="41"/>
        <v>1.0813462440813916E-2</v>
      </c>
    </row>
    <row r="53" spans="1:26" s="29" customFormat="1" outlineLevel="1" collapsed="1" x14ac:dyDescent="0.3">
      <c r="A53" s="28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SUM(OSRRefD22_6x_0)</f>
        <v>-10138.209999999999</v>
      </c>
      <c r="E53" s="1"/>
      <c r="F53" s="5">
        <f t="shared" si="34"/>
        <v>-0.43543887016734284</v>
      </c>
      <c r="G53" s="1"/>
      <c r="H53" s="1">
        <f>SUM(OSRRefH22_6x_0)</f>
        <v>-23491.679999999997</v>
      </c>
      <c r="I53" s="1"/>
      <c r="J53" s="5">
        <f t="shared" si="35"/>
        <v>-0.79426842256521224</v>
      </c>
      <c r="K53" s="1"/>
      <c r="L53" s="1">
        <f t="shared" si="36"/>
        <v>13353.469999999998</v>
      </c>
      <c r="M53" s="1"/>
      <c r="N53" s="5">
        <f t="shared" si="37"/>
        <v>-0.56843401578771713</v>
      </c>
      <c r="O53" s="14"/>
      <c r="P53" s="1">
        <f>SUM(OSRRefP22_6x_0)</f>
        <v>-57286.23000000001</v>
      </c>
      <c r="Q53" s="1"/>
      <c r="R53" s="5">
        <f t="shared" si="38"/>
        <v>-0.46863179388006287</v>
      </c>
      <c r="S53" s="1"/>
      <c r="T53" s="1">
        <f>SUM(OSRRefT22_6x_0)</f>
        <v>-48225.560000000012</v>
      </c>
      <c r="U53" s="1"/>
      <c r="V53" s="5">
        <f t="shared" si="39"/>
        <v>-0.46190313182490478</v>
      </c>
      <c r="W53" s="1"/>
      <c r="X53" s="1">
        <f t="shared" si="40"/>
        <v>-9060.6699999999983</v>
      </c>
      <c r="Y53" s="1"/>
      <c r="Z53" s="5">
        <f t="shared" si="41"/>
        <v>0.18788107385378203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7">
        <v>14906.39</v>
      </c>
      <c r="E54" s="2"/>
      <c r="F54" s="6">
        <f t="shared" si="34"/>
        <v>0.64023349485498704</v>
      </c>
      <c r="G54" s="2"/>
      <c r="H54" s="7">
        <v>18016.990000000002</v>
      </c>
      <c r="I54" s="2"/>
      <c r="J54" s="6">
        <f t="shared" si="35"/>
        <v>0.60916572278667203</v>
      </c>
      <c r="K54" s="2"/>
      <c r="L54" s="7">
        <f t="shared" si="36"/>
        <v>-3110.6000000000022</v>
      </c>
      <c r="M54" s="2"/>
      <c r="N54" s="6">
        <f t="shared" si="37"/>
        <v>-0.17264815044022347</v>
      </c>
      <c r="O54" s="11"/>
      <c r="P54" s="7">
        <v>87621</v>
      </c>
      <c r="Q54" s="2"/>
      <c r="R54" s="6">
        <f t="shared" si="38"/>
        <v>0.71678632738731418</v>
      </c>
      <c r="S54" s="2"/>
      <c r="T54" s="7">
        <v>126079.23</v>
      </c>
      <c r="U54" s="2"/>
      <c r="V54" s="6">
        <f t="shared" si="39"/>
        <v>1.2075835137025361</v>
      </c>
      <c r="W54" s="2"/>
      <c r="X54" s="7">
        <f t="shared" si="40"/>
        <v>-38458.229999999996</v>
      </c>
      <c r="Y54" s="2"/>
      <c r="Z54" s="6">
        <f t="shared" si="41"/>
        <v>-0.30503224044118921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7">
        <v>-25044.6</v>
      </c>
      <c r="E55" s="2"/>
      <c r="F55" s="6">
        <f t="shared" si="34"/>
        <v>-1.0756723650223299</v>
      </c>
      <c r="G55" s="2"/>
      <c r="H55" s="7">
        <v>-41508.67</v>
      </c>
      <c r="I55" s="2"/>
      <c r="J55" s="6">
        <f t="shared" si="35"/>
        <v>-1.4034341453518842</v>
      </c>
      <c r="K55" s="2"/>
      <c r="L55" s="7">
        <f t="shared" si="36"/>
        <v>16464.07</v>
      </c>
      <c r="M55" s="2"/>
      <c r="N55" s="6">
        <f t="shared" si="37"/>
        <v>-0.39664171364681161</v>
      </c>
      <c r="O55" s="11"/>
      <c r="P55" s="7">
        <v>-144907.23000000001</v>
      </c>
      <c r="Q55" s="2"/>
      <c r="R55" s="6">
        <f t="shared" si="38"/>
        <v>-1.1854181212673771</v>
      </c>
      <c r="S55" s="2"/>
      <c r="T55" s="7">
        <v>-174304.79</v>
      </c>
      <c r="U55" s="2"/>
      <c r="V55" s="6">
        <f t="shared" si="39"/>
        <v>-1.6694866455274409</v>
      </c>
      <c r="W55" s="2"/>
      <c r="X55" s="7">
        <f t="shared" si="40"/>
        <v>29397.559999999998</v>
      </c>
      <c r="Y55" s="2"/>
      <c r="Z55" s="6">
        <f t="shared" si="41"/>
        <v>-0.16865606504560199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0</v>
      </c>
      <c r="E56" s="1"/>
      <c r="F56" s="5">
        <f t="shared" ref="F56:F61" si="42">IF(D$12=0,0,D56/D$12)</f>
        <v>0</v>
      </c>
      <c r="G56" s="1"/>
      <c r="H56" s="1">
        <f>SUM(OSRRefH22_7x_0)</f>
        <v>0</v>
      </c>
      <c r="I56" s="1"/>
      <c r="J56" s="5">
        <f t="shared" ref="J56:J61" si="43">IF(H$12=0,0,H56/H$12)</f>
        <v>0</v>
      </c>
      <c r="K56" s="1"/>
      <c r="L56" s="1">
        <f t="shared" ref="L56:L61" si="44">+D56-H56</f>
        <v>0</v>
      </c>
      <c r="M56" s="1"/>
      <c r="N56" s="5">
        <f t="shared" ref="N56:N61" si="45">IF(H56=0,0,L56/H56)</f>
        <v>0</v>
      </c>
      <c r="O56" s="14"/>
      <c r="P56" s="1">
        <f>SUM(OSRRefP22_7x_0)</f>
        <v>91.31</v>
      </c>
      <c r="Q56" s="1"/>
      <c r="R56" s="5">
        <f t="shared" ref="R56:R61" si="46">IF(P$12=0,0,P56/P$12)</f>
        <v>7.4696430711513977E-4</v>
      </c>
      <c r="S56" s="1"/>
      <c r="T56" s="1">
        <f>SUM(OSRRefT22_7x_0)</f>
        <v>0</v>
      </c>
      <c r="U56" s="1"/>
      <c r="V56" s="5">
        <f t="shared" ref="V56:V61" si="47">IF(T$12=0,0,T56/T$12)</f>
        <v>0</v>
      </c>
      <c r="W56" s="1"/>
      <c r="X56" s="1">
        <f t="shared" ref="X56:X61" si="48">+P56-T56</f>
        <v>91.31</v>
      </c>
      <c r="Y56" s="1"/>
      <c r="Z56" s="5">
        <f t="shared" ref="Z56:Z61" si="49">IF(T56=0,0,X56/T56)</f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42"/>
        <v>0</v>
      </c>
      <c r="G57" s="2"/>
      <c r="H57" s="7"/>
      <c r="I57" s="2"/>
      <c r="J57" s="6">
        <f t="shared" si="43"/>
        <v>0</v>
      </c>
      <c r="K57" s="2"/>
      <c r="L57" s="7">
        <f t="shared" si="44"/>
        <v>0</v>
      </c>
      <c r="M57" s="2"/>
      <c r="N57" s="6">
        <f t="shared" si="45"/>
        <v>0</v>
      </c>
      <c r="O57" s="11"/>
      <c r="P57" s="7">
        <v>91.31</v>
      </c>
      <c r="Q57" s="2"/>
      <c r="R57" s="6">
        <f t="shared" si="46"/>
        <v>7.4696430711513977E-4</v>
      </c>
      <c r="S57" s="2"/>
      <c r="T57" s="7"/>
      <c r="U57" s="2"/>
      <c r="V57" s="6">
        <f t="shared" si="47"/>
        <v>0</v>
      </c>
      <c r="W57" s="2"/>
      <c r="X57" s="7">
        <f t="shared" si="48"/>
        <v>91.31</v>
      </c>
      <c r="Y57" s="2"/>
      <c r="Z57" s="6">
        <f t="shared" si="49"/>
        <v>0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7510.08</v>
      </c>
      <c r="E58" s="1"/>
      <c r="F58" s="5">
        <f t="shared" si="42"/>
        <v>0.3225599736113533</v>
      </c>
      <c r="G58" s="1"/>
      <c r="H58" s="1">
        <f>SUM(OSRRefH22_8x_0)</f>
        <v>1053.08</v>
      </c>
      <c r="I58" s="1"/>
      <c r="J58" s="5">
        <f t="shared" si="43"/>
        <v>3.5605294744138087E-2</v>
      </c>
      <c r="K58" s="1"/>
      <c r="L58" s="1">
        <f t="shared" si="44"/>
        <v>6457</v>
      </c>
      <c r="M58" s="1"/>
      <c r="N58" s="5">
        <f t="shared" si="45"/>
        <v>6.1315379648269843</v>
      </c>
      <c r="O58" s="14"/>
      <c r="P58" s="1">
        <f>SUM(OSRRefP22_8x_0)</f>
        <v>20738.830000000002</v>
      </c>
      <c r="Q58" s="1"/>
      <c r="R58" s="5">
        <f t="shared" si="46"/>
        <v>0.16965464660309579</v>
      </c>
      <c r="S58" s="1"/>
      <c r="T58" s="1">
        <f>SUM(OSRRefT22_8x_0)</f>
        <v>30432.59</v>
      </c>
      <c r="U58" s="1"/>
      <c r="V58" s="5">
        <f t="shared" si="47"/>
        <v>0.29148253810931951</v>
      </c>
      <c r="W58" s="1"/>
      <c r="X58" s="1">
        <f t="shared" si="48"/>
        <v>-9693.7599999999984</v>
      </c>
      <c r="Y58" s="1"/>
      <c r="Z58" s="5">
        <f t="shared" si="49"/>
        <v>-0.31853220511300545</v>
      </c>
    </row>
    <row r="59" spans="1:26" s="24" customFormat="1" hidden="1" outlineLevel="2" x14ac:dyDescent="0.3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42"/>
        <v>0</v>
      </c>
      <c r="G59" s="2"/>
      <c r="H59" s="7"/>
      <c r="I59" s="2"/>
      <c r="J59" s="6">
        <f t="shared" si="43"/>
        <v>0</v>
      </c>
      <c r="K59" s="2"/>
      <c r="L59" s="7">
        <f t="shared" si="44"/>
        <v>0</v>
      </c>
      <c r="M59" s="2"/>
      <c r="N59" s="6">
        <f t="shared" si="45"/>
        <v>0</v>
      </c>
      <c r="O59" s="11"/>
      <c r="P59" s="7"/>
      <c r="Q59" s="2"/>
      <c r="R59" s="6">
        <f t="shared" si="46"/>
        <v>0</v>
      </c>
      <c r="S59" s="2"/>
      <c r="T59" s="7">
        <v>7.69</v>
      </c>
      <c r="U59" s="2"/>
      <c r="V59" s="6">
        <f t="shared" si="47"/>
        <v>7.365461559665698E-5</v>
      </c>
      <c r="W59" s="2"/>
      <c r="X59" s="7">
        <f t="shared" si="48"/>
        <v>-7.69</v>
      </c>
      <c r="Y59" s="2"/>
      <c r="Z59" s="6">
        <f t="shared" si="49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1433.04</v>
      </c>
      <c r="E60" s="2"/>
      <c r="F60" s="6">
        <f t="shared" si="42"/>
        <v>6.1549456807918658E-2</v>
      </c>
      <c r="G60" s="2"/>
      <c r="H60" s="7">
        <v>1053.08</v>
      </c>
      <c r="I60" s="2"/>
      <c r="J60" s="6">
        <f t="shared" si="43"/>
        <v>3.5605294744138087E-2</v>
      </c>
      <c r="K60" s="2"/>
      <c r="L60" s="7">
        <f t="shared" si="44"/>
        <v>379.96000000000004</v>
      </c>
      <c r="M60" s="2"/>
      <c r="N60" s="6">
        <f t="shared" si="45"/>
        <v>0.36080829566604633</v>
      </c>
      <c r="O60" s="11"/>
      <c r="P60" s="7">
        <v>6764.18</v>
      </c>
      <c r="Q60" s="2"/>
      <c r="R60" s="6">
        <f t="shared" si="46"/>
        <v>5.5334585772665493E-2</v>
      </c>
      <c r="S60" s="2"/>
      <c r="T60" s="7">
        <v>30424.9</v>
      </c>
      <c r="U60" s="2"/>
      <c r="V60" s="6">
        <f t="shared" si="47"/>
        <v>0.2914088834937229</v>
      </c>
      <c r="W60" s="2"/>
      <c r="X60" s="7">
        <f t="shared" si="48"/>
        <v>-23660.720000000001</v>
      </c>
      <c r="Y60" s="2"/>
      <c r="Z60" s="6">
        <f t="shared" si="49"/>
        <v>-0.77767617970806802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6077.04</v>
      </c>
      <c r="E61" s="2"/>
      <c r="F61" s="6">
        <f t="shared" si="42"/>
        <v>0.26101051680343468</v>
      </c>
      <c r="G61" s="2"/>
      <c r="H61" s="7"/>
      <c r="I61" s="2"/>
      <c r="J61" s="6">
        <f t="shared" si="43"/>
        <v>0</v>
      </c>
      <c r="K61" s="2"/>
      <c r="L61" s="7">
        <f t="shared" si="44"/>
        <v>6077.04</v>
      </c>
      <c r="M61" s="2"/>
      <c r="N61" s="6">
        <f t="shared" si="45"/>
        <v>0</v>
      </c>
      <c r="O61" s="11"/>
      <c r="P61" s="7">
        <v>13974.65</v>
      </c>
      <c r="Q61" s="2"/>
      <c r="R61" s="6">
        <f t="shared" si="46"/>
        <v>0.11432006083043027</v>
      </c>
      <c r="S61" s="2"/>
      <c r="T61" s="7"/>
      <c r="U61" s="2"/>
      <c r="V61" s="6">
        <f t="shared" si="47"/>
        <v>0</v>
      </c>
      <c r="W61" s="2"/>
      <c r="X61" s="7">
        <f t="shared" si="48"/>
        <v>13974.65</v>
      </c>
      <c r="Y61" s="2"/>
      <c r="Z61" s="6">
        <f t="shared" si="49"/>
        <v>0</v>
      </c>
    </row>
    <row r="62" spans="1:26" s="29" customFormat="1" outlineLevel="1" collapsed="1" x14ac:dyDescent="0.3">
      <c r="A62" s="28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SUM(OSRRefD22_9x_0)</f>
        <v>254.44</v>
      </c>
      <c r="E62" s="1"/>
      <c r="F62" s="5">
        <f t="shared" ref="F62:F69" si="50">IF(D$12=0,0,D62/D$12)</f>
        <v>1.0928267033862854E-2</v>
      </c>
      <c r="G62" s="1"/>
      <c r="H62" s="1">
        <f>SUM(OSRRefH22_9x_0)</f>
        <v>3.81</v>
      </c>
      <c r="I62" s="1"/>
      <c r="J62" s="5">
        <f t="shared" ref="J62:J69" si="51">IF(H$12=0,0,H62/H$12)</f>
        <v>1.2881848765066862E-4</v>
      </c>
      <c r="K62" s="1"/>
      <c r="L62" s="1">
        <f t="shared" ref="L62:L69" si="52">+D62-H62</f>
        <v>250.63</v>
      </c>
      <c r="M62" s="1"/>
      <c r="N62" s="5">
        <f t="shared" ref="N62:N69" si="53">IF(H62=0,0,L62/H62)</f>
        <v>65.782152230971121</v>
      </c>
      <c r="O62" s="14"/>
      <c r="P62" s="1">
        <f>SUM(OSRRefP22_9x_0)</f>
        <v>5868.58</v>
      </c>
      <c r="Q62" s="1"/>
      <c r="R62" s="5">
        <f t="shared" ref="R62:R69" si="54">IF(P$12=0,0,P62/P$12)</f>
        <v>4.8008101998135655E-2</v>
      </c>
      <c r="S62" s="1"/>
      <c r="T62" s="1">
        <f>SUM(OSRRefT22_9x_0)</f>
        <v>10168.07</v>
      </c>
      <c r="U62" s="1"/>
      <c r="V62" s="5">
        <f t="shared" ref="V62:V69" si="55">IF(T$12=0,0,T62/T$12)</f>
        <v>9.7389504188543558E-2</v>
      </c>
      <c r="W62" s="1"/>
      <c r="X62" s="1">
        <f t="shared" ref="X62:X69" si="56">+P62-T62</f>
        <v>-4299.49</v>
      </c>
      <c r="Y62" s="1"/>
      <c r="Z62" s="5">
        <f t="shared" ref="Z62:Z69" si="57">IF(T62=0,0,X62/T62)</f>
        <v>-0.4228422896380532</v>
      </c>
    </row>
    <row r="63" spans="1:26" s="24" customFormat="1" hidden="1" outlineLevel="2" x14ac:dyDescent="0.3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7">
        <v>254.44</v>
      </c>
      <c r="E63" s="2"/>
      <c r="F63" s="6">
        <f t="shared" si="50"/>
        <v>1.0928267033862854E-2</v>
      </c>
      <c r="G63" s="2"/>
      <c r="H63" s="7">
        <v>3.81</v>
      </c>
      <c r="I63" s="2"/>
      <c r="J63" s="6">
        <f t="shared" si="51"/>
        <v>1.2881848765066862E-4</v>
      </c>
      <c r="K63" s="2"/>
      <c r="L63" s="7">
        <f t="shared" si="52"/>
        <v>250.63</v>
      </c>
      <c r="M63" s="2"/>
      <c r="N63" s="6">
        <f t="shared" si="53"/>
        <v>65.782152230971121</v>
      </c>
      <c r="O63" s="11"/>
      <c r="P63" s="7">
        <v>5868.58</v>
      </c>
      <c r="Q63" s="2"/>
      <c r="R63" s="6">
        <f t="shared" si="54"/>
        <v>4.8008101998135655E-2</v>
      </c>
      <c r="S63" s="2"/>
      <c r="T63" s="7">
        <v>10168.07</v>
      </c>
      <c r="U63" s="2"/>
      <c r="V63" s="6">
        <f t="shared" si="55"/>
        <v>9.7389504188543558E-2</v>
      </c>
      <c r="W63" s="2"/>
      <c r="X63" s="7">
        <f t="shared" si="56"/>
        <v>-4299.49</v>
      </c>
      <c r="Y63" s="2"/>
      <c r="Z63" s="6">
        <f t="shared" si="57"/>
        <v>-0.4228422896380532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795.68000000000006</v>
      </c>
      <c r="E64" s="1"/>
      <c r="F64" s="5">
        <f t="shared" si="50"/>
        <v>3.4174671881402281E-2</v>
      </c>
      <c r="G64" s="1"/>
      <c r="H64" s="1">
        <f>SUM(OSRRefH22_10x_0)</f>
        <v>6267.77</v>
      </c>
      <c r="I64" s="1"/>
      <c r="J64" s="5">
        <f t="shared" si="51"/>
        <v>0.21191723158588749</v>
      </c>
      <c r="K64" s="1"/>
      <c r="L64" s="1">
        <f t="shared" si="52"/>
        <v>-5472.09</v>
      </c>
      <c r="M64" s="1"/>
      <c r="N64" s="5">
        <f t="shared" si="53"/>
        <v>-0.8730521381607812</v>
      </c>
      <c r="O64" s="14"/>
      <c r="P64" s="1">
        <f>SUM(OSRRefP22_10x_0)</f>
        <v>22617.919999999998</v>
      </c>
      <c r="Q64" s="1"/>
      <c r="R64" s="5">
        <f t="shared" si="54"/>
        <v>0.18502660104244509</v>
      </c>
      <c r="S64" s="1"/>
      <c r="T64" s="1">
        <f>SUM(OSRRefT22_10x_0)</f>
        <v>32085</v>
      </c>
      <c r="U64" s="1"/>
      <c r="V64" s="5">
        <f t="shared" si="55"/>
        <v>0.30730927716758638</v>
      </c>
      <c r="W64" s="1"/>
      <c r="X64" s="1">
        <f t="shared" si="56"/>
        <v>-9467.0800000000017</v>
      </c>
      <c r="Y64" s="1"/>
      <c r="Z64" s="5">
        <f t="shared" si="57"/>
        <v>-0.29506249026024628</v>
      </c>
    </row>
    <row r="65" spans="1:26" s="24" customFormat="1" hidden="1" outlineLevel="2" x14ac:dyDescent="0.3">
      <c r="A65" s="27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0"/>
        <v>0</v>
      </c>
      <c r="G65" s="2"/>
      <c r="H65" s="7"/>
      <c r="I65" s="2"/>
      <c r="J65" s="6">
        <f t="shared" si="51"/>
        <v>0</v>
      </c>
      <c r="K65" s="2"/>
      <c r="L65" s="7">
        <f t="shared" si="52"/>
        <v>0</v>
      </c>
      <c r="M65" s="2"/>
      <c r="N65" s="6">
        <f t="shared" si="53"/>
        <v>0</v>
      </c>
      <c r="O65" s="11"/>
      <c r="P65" s="7"/>
      <c r="Q65" s="2"/>
      <c r="R65" s="6">
        <f t="shared" si="54"/>
        <v>0</v>
      </c>
      <c r="S65" s="2"/>
      <c r="T65" s="7">
        <v>310.91000000000003</v>
      </c>
      <c r="U65" s="2"/>
      <c r="V65" s="6">
        <f t="shared" si="55"/>
        <v>2.9778877158851266E-3</v>
      </c>
      <c r="W65" s="2"/>
      <c r="X65" s="7">
        <f t="shared" si="56"/>
        <v>-310.91000000000003</v>
      </c>
      <c r="Y65" s="2"/>
      <c r="Z65" s="6">
        <f t="shared" si="57"/>
        <v>-1</v>
      </c>
    </row>
    <row r="66" spans="1:26" s="24" customFormat="1" hidden="1" outlineLevel="2" x14ac:dyDescent="0.3">
      <c r="A66" s="27"/>
      <c r="B66" s="11" t="str">
        <f>CONCATENATE("          ", "6241", " - ", "OFFICE EXPENSE")</f>
        <v xml:space="preserve">          6241 - OFFICE EXPENSE</v>
      </c>
      <c r="C66" s="11"/>
      <c r="D66" s="7">
        <v>9.4600000000000009</v>
      </c>
      <c r="E66" s="2"/>
      <c r="F66" s="6">
        <f t="shared" si="50"/>
        <v>4.0630956665753263E-4</v>
      </c>
      <c r="G66" s="2"/>
      <c r="H66" s="7"/>
      <c r="I66" s="2"/>
      <c r="J66" s="6">
        <f t="shared" si="51"/>
        <v>0</v>
      </c>
      <c r="K66" s="2"/>
      <c r="L66" s="7">
        <f t="shared" si="52"/>
        <v>9.4600000000000009</v>
      </c>
      <c r="M66" s="2"/>
      <c r="N66" s="6">
        <f t="shared" si="53"/>
        <v>0</v>
      </c>
      <c r="O66" s="11"/>
      <c r="P66" s="7">
        <v>4862.3100000000004</v>
      </c>
      <c r="Q66" s="2"/>
      <c r="R66" s="6">
        <f t="shared" si="54"/>
        <v>3.977627883177106E-2</v>
      </c>
      <c r="S66" s="2"/>
      <c r="T66" s="7">
        <v>4596.8599999999997</v>
      </c>
      <c r="U66" s="2"/>
      <c r="V66" s="6">
        <f t="shared" si="55"/>
        <v>4.4028602893582389E-2</v>
      </c>
      <c r="W66" s="2"/>
      <c r="X66" s="7">
        <f t="shared" si="56"/>
        <v>265.45000000000073</v>
      </c>
      <c r="Y66" s="2"/>
      <c r="Z66" s="6">
        <f t="shared" si="57"/>
        <v>5.7745939619653575E-2</v>
      </c>
    </row>
    <row r="67" spans="1:26" s="24" customFormat="1" hidden="1" outlineLevel="2" x14ac:dyDescent="0.3">
      <c r="A67" s="27"/>
      <c r="B67" s="11" t="str">
        <f>CONCATENATE("          ", "6243", " - ", "PAPER SUPPLIES")</f>
        <v xml:space="preserve">          6243 - PAPER SUPPLIES</v>
      </c>
      <c r="C67" s="11"/>
      <c r="D67" s="7">
        <v>78.34</v>
      </c>
      <c r="E67" s="2"/>
      <c r="F67" s="6">
        <f t="shared" si="50"/>
        <v>3.3647242549631191E-3</v>
      </c>
      <c r="G67" s="2"/>
      <c r="H67" s="7">
        <v>1080</v>
      </c>
      <c r="I67" s="2"/>
      <c r="J67" s="6">
        <f t="shared" si="51"/>
        <v>3.6515476814362756E-2</v>
      </c>
      <c r="K67" s="2"/>
      <c r="L67" s="7">
        <f t="shared" si="52"/>
        <v>-1001.66</v>
      </c>
      <c r="M67" s="2"/>
      <c r="N67" s="6">
        <f t="shared" si="53"/>
        <v>-0.92746296296296293</v>
      </c>
      <c r="O67" s="11"/>
      <c r="P67" s="7">
        <v>4549.24</v>
      </c>
      <c r="Q67" s="2"/>
      <c r="R67" s="6">
        <f t="shared" si="54"/>
        <v>3.7215199917867467E-2</v>
      </c>
      <c r="S67" s="2"/>
      <c r="T67" s="7">
        <v>6173.4</v>
      </c>
      <c r="U67" s="2"/>
      <c r="V67" s="6">
        <f t="shared" si="55"/>
        <v>5.9128661108504836E-2</v>
      </c>
      <c r="W67" s="2"/>
      <c r="X67" s="7">
        <f t="shared" si="56"/>
        <v>-1624.1599999999999</v>
      </c>
      <c r="Y67" s="2"/>
      <c r="Z67" s="6">
        <f t="shared" si="57"/>
        <v>-0.26309003142514659</v>
      </c>
    </row>
    <row r="68" spans="1:26" s="24" customFormat="1" hidden="1" outlineLevel="2" x14ac:dyDescent="0.3">
      <c r="A68" s="27"/>
      <c r="B68" s="11" t="str">
        <f>CONCATENATE("          ", "6245", " - ", "PRINTING")</f>
        <v xml:space="preserve">          6245 - PRINTING</v>
      </c>
      <c r="C68" s="11"/>
      <c r="D68" s="7">
        <v>76.62</v>
      </c>
      <c r="E68" s="2"/>
      <c r="F68" s="6">
        <f t="shared" si="50"/>
        <v>3.2908497882981132E-3</v>
      </c>
      <c r="G68" s="2"/>
      <c r="H68" s="7"/>
      <c r="I68" s="2"/>
      <c r="J68" s="6">
        <f t="shared" si="51"/>
        <v>0</v>
      </c>
      <c r="K68" s="2"/>
      <c r="L68" s="7">
        <f t="shared" si="52"/>
        <v>76.62</v>
      </c>
      <c r="M68" s="2"/>
      <c r="N68" s="6">
        <f t="shared" si="53"/>
        <v>0</v>
      </c>
      <c r="O68" s="11"/>
      <c r="P68" s="7">
        <v>1158.55</v>
      </c>
      <c r="Q68" s="2"/>
      <c r="R68" s="6">
        <f t="shared" si="54"/>
        <v>9.4775544629092674E-3</v>
      </c>
      <c r="S68" s="2"/>
      <c r="T68" s="7">
        <v>439.61</v>
      </c>
      <c r="U68" s="2"/>
      <c r="V68" s="6">
        <f t="shared" si="55"/>
        <v>4.2105728949865251E-3</v>
      </c>
      <c r="W68" s="2"/>
      <c r="X68" s="7">
        <f t="shared" si="56"/>
        <v>718.93999999999994</v>
      </c>
      <c r="Y68" s="2"/>
      <c r="Z68" s="6">
        <f t="shared" si="57"/>
        <v>1.6354041081868018</v>
      </c>
    </row>
    <row r="69" spans="1:26" s="24" customFormat="1" hidden="1" outlineLevel="2" x14ac:dyDescent="0.3">
      <c r="A69" s="27"/>
      <c r="B69" s="11" t="str">
        <f>CONCATENATE("          ", "6247", " - ", "STORE SUPPLIES")</f>
        <v xml:space="preserve">          6247 - STORE SUPPLIES</v>
      </c>
      <c r="C69" s="11"/>
      <c r="D69" s="7">
        <v>631.26</v>
      </c>
      <c r="E69" s="2"/>
      <c r="F69" s="6">
        <f t="shared" si="50"/>
        <v>2.7112788271483512E-2</v>
      </c>
      <c r="G69" s="2"/>
      <c r="H69" s="7">
        <v>5187.7700000000004</v>
      </c>
      <c r="I69" s="2"/>
      <c r="J69" s="6">
        <f t="shared" si="51"/>
        <v>0.17540175477152473</v>
      </c>
      <c r="K69" s="2"/>
      <c r="L69" s="7">
        <f t="shared" si="52"/>
        <v>-4556.51</v>
      </c>
      <c r="M69" s="2"/>
      <c r="N69" s="6">
        <f t="shared" si="53"/>
        <v>-0.87831765864716438</v>
      </c>
      <c r="O69" s="11"/>
      <c r="P69" s="7">
        <v>12047.82</v>
      </c>
      <c r="Q69" s="2"/>
      <c r="R69" s="6">
        <f t="shared" si="54"/>
        <v>9.8557567829897302E-2</v>
      </c>
      <c r="S69" s="2"/>
      <c r="T69" s="7">
        <v>20564.22</v>
      </c>
      <c r="U69" s="2"/>
      <c r="V69" s="6">
        <f t="shared" si="55"/>
        <v>0.1969635525546275</v>
      </c>
      <c r="W69" s="2"/>
      <c r="X69" s="7">
        <f t="shared" si="56"/>
        <v>-8516.4000000000015</v>
      </c>
      <c r="Y69" s="2"/>
      <c r="Z69" s="6">
        <f t="shared" si="57"/>
        <v>-0.41413678709914603</v>
      </c>
    </row>
    <row r="70" spans="1:26" s="29" customFormat="1" outlineLevel="1" collapsed="1" x14ac:dyDescent="0.3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SUM(OSRRefD22_11x_0)</f>
        <v>111.3</v>
      </c>
      <c r="E70" s="1"/>
      <c r="F70" s="5">
        <f t="shared" ref="F70:F73" si="58">IF(D$12=0,0,D70/D$12)</f>
        <v>4.7803651975669532E-3</v>
      </c>
      <c r="G70" s="1"/>
      <c r="H70" s="1">
        <f>SUM(OSRRefH22_11x_0)</f>
        <v>82.2</v>
      </c>
      <c r="I70" s="1"/>
      <c r="J70" s="5">
        <f t="shared" ref="J70:J73" si="59">IF(H$12=0,0,H70/H$12)</f>
        <v>2.7792335130931655E-3</v>
      </c>
      <c r="K70" s="1"/>
      <c r="L70" s="1">
        <f t="shared" ref="L70:L73" si="60">+D70-H70</f>
        <v>29.099999999999994</v>
      </c>
      <c r="M70" s="1"/>
      <c r="N70" s="5">
        <f t="shared" ref="N70:N73" si="61">IF(H70=0,0,L70/H70)</f>
        <v>0.35401459854014589</v>
      </c>
      <c r="O70" s="14"/>
      <c r="P70" s="1">
        <f>SUM(OSRRefP22_11x_0)</f>
        <v>740.85</v>
      </c>
      <c r="Q70" s="1"/>
      <c r="R70" s="5">
        <f t="shared" ref="R70:R73" si="62">IF(P$12=0,0,P70/P$12)</f>
        <v>6.0605465658334391E-3</v>
      </c>
      <c r="S70" s="1"/>
      <c r="T70" s="1">
        <f>SUM(OSRRefT22_11x_0)</f>
        <v>1339.2</v>
      </c>
      <c r="U70" s="1"/>
      <c r="V70" s="5">
        <f t="shared" ref="V70:V73" si="63">IF(T$12=0,0,T70/T$12)</f>
        <v>1.2826822003516649E-2</v>
      </c>
      <c r="W70" s="1"/>
      <c r="X70" s="1">
        <f t="shared" ref="X70:X73" si="64">+P70-T70</f>
        <v>-598.35</v>
      </c>
      <c r="Y70" s="1"/>
      <c r="Z70" s="5">
        <f t="shared" ref="Z70:Z73" si="65">IF(T70=0,0,X70/T70)</f>
        <v>-0.44679659498207885</v>
      </c>
    </row>
    <row r="71" spans="1:26" s="24" customFormat="1" hidden="1" outlineLevel="2" x14ac:dyDescent="0.3">
      <c r="A71" s="27"/>
      <c r="B71" s="11" t="str">
        <f>CONCATENATE("          ", "6309", " - ", "TELEPHONE")</f>
        <v xml:space="preserve">          6309 - TELEPHONE</v>
      </c>
      <c r="C71" s="11"/>
      <c r="D71" s="7">
        <v>111.3</v>
      </c>
      <c r="E71" s="2"/>
      <c r="F71" s="6">
        <f t="shared" si="58"/>
        <v>4.7803651975669532E-3</v>
      </c>
      <c r="G71" s="2"/>
      <c r="H71" s="7">
        <v>82.2</v>
      </c>
      <c r="I71" s="2"/>
      <c r="J71" s="6">
        <f t="shared" si="59"/>
        <v>2.7792335130931655E-3</v>
      </c>
      <c r="K71" s="2"/>
      <c r="L71" s="7">
        <f t="shared" si="60"/>
        <v>29.099999999999994</v>
      </c>
      <c r="M71" s="2"/>
      <c r="N71" s="6">
        <f t="shared" si="61"/>
        <v>0.35401459854014589</v>
      </c>
      <c r="O71" s="11"/>
      <c r="P71" s="7">
        <v>740.85</v>
      </c>
      <c r="Q71" s="2"/>
      <c r="R71" s="6">
        <f t="shared" si="62"/>
        <v>6.0605465658334391E-3</v>
      </c>
      <c r="S71" s="2"/>
      <c r="T71" s="7">
        <v>1339.2</v>
      </c>
      <c r="U71" s="2"/>
      <c r="V71" s="6">
        <f t="shared" si="63"/>
        <v>1.2826822003516649E-2</v>
      </c>
      <c r="W71" s="2"/>
      <c r="X71" s="7">
        <f t="shared" si="64"/>
        <v>-598.35</v>
      </c>
      <c r="Y71" s="2"/>
      <c r="Z71" s="6">
        <f t="shared" si="65"/>
        <v>-0.44679659498207885</v>
      </c>
    </row>
    <row r="72" spans="1:26" s="29" customFormat="1" outlineLevel="1" collapsed="1" x14ac:dyDescent="0.3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SUM(OSRRefD22_12x_0)</f>
        <v>0</v>
      </c>
      <c r="E72" s="1"/>
      <c r="F72" s="5">
        <f t="shared" si="58"/>
        <v>0</v>
      </c>
      <c r="G72" s="1"/>
      <c r="H72" s="1">
        <f>SUM(OSRRefH22_12x_0)</f>
        <v>0</v>
      </c>
      <c r="I72" s="1"/>
      <c r="J72" s="5">
        <f t="shared" si="59"/>
        <v>0</v>
      </c>
      <c r="K72" s="1"/>
      <c r="L72" s="1">
        <f t="shared" si="60"/>
        <v>0</v>
      </c>
      <c r="M72" s="1"/>
      <c r="N72" s="5">
        <f t="shared" si="61"/>
        <v>0</v>
      </c>
      <c r="O72" s="14"/>
      <c r="P72" s="1">
        <f>SUM(OSRRefP22_12x_0)</f>
        <v>0</v>
      </c>
      <c r="Q72" s="1"/>
      <c r="R72" s="5">
        <f t="shared" si="62"/>
        <v>0</v>
      </c>
      <c r="S72" s="1"/>
      <c r="T72" s="1">
        <f>SUM(OSRRefT22_12x_0)</f>
        <v>15.02</v>
      </c>
      <c r="U72" s="1"/>
      <c r="V72" s="5">
        <f t="shared" si="63"/>
        <v>1.438611607622611E-4</v>
      </c>
      <c r="W72" s="1"/>
      <c r="X72" s="1">
        <f t="shared" si="64"/>
        <v>-15.02</v>
      </c>
      <c r="Y72" s="1"/>
      <c r="Z72" s="5">
        <f t="shared" si="65"/>
        <v>-1</v>
      </c>
    </row>
    <row r="73" spans="1:26" s="24" customFormat="1" hidden="1" outlineLevel="2" x14ac:dyDescent="0.3">
      <c r="A73" s="27"/>
      <c r="B73" s="11" t="str">
        <f>CONCATENATE("          ", "6274", " - ", "UTILITIES")</f>
        <v xml:space="preserve">          6274 - UTILITIES</v>
      </c>
      <c r="C73" s="11"/>
      <c r="D73" s="7"/>
      <c r="E73" s="2"/>
      <c r="F73" s="6">
        <f t="shared" si="58"/>
        <v>0</v>
      </c>
      <c r="G73" s="2"/>
      <c r="H73" s="7"/>
      <c r="I73" s="2"/>
      <c r="J73" s="6">
        <f t="shared" si="59"/>
        <v>0</v>
      </c>
      <c r="K73" s="2"/>
      <c r="L73" s="7">
        <f t="shared" si="60"/>
        <v>0</v>
      </c>
      <c r="M73" s="2"/>
      <c r="N73" s="6">
        <f t="shared" si="61"/>
        <v>0</v>
      </c>
      <c r="O73" s="11"/>
      <c r="P73" s="7"/>
      <c r="Q73" s="2"/>
      <c r="R73" s="6">
        <f t="shared" si="62"/>
        <v>0</v>
      </c>
      <c r="S73" s="2"/>
      <c r="T73" s="7">
        <v>15.02</v>
      </c>
      <c r="U73" s="2"/>
      <c r="V73" s="6">
        <f t="shared" si="63"/>
        <v>1.438611607622611E-4</v>
      </c>
      <c r="W73" s="2"/>
      <c r="X73" s="7">
        <f t="shared" si="64"/>
        <v>-15.02</v>
      </c>
      <c r="Y73" s="2"/>
      <c r="Z73" s="6">
        <f t="shared" si="65"/>
        <v>-1</v>
      </c>
    </row>
    <row r="74" spans="1:26" s="52" customFormat="1" x14ac:dyDescent="0.3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3">
      <c r="A75" s="10"/>
      <c r="B75" s="26" t="s">
        <v>292</v>
      </c>
      <c r="C75" s="10"/>
      <c r="D75" s="4">
        <f>SUM(OSRRefD25x_0)</f>
        <v>236.44</v>
      </c>
      <c r="E75" s="4"/>
      <c r="F75" s="12">
        <f t="shared" ref="F75:F76" si="66">IF(D$12=0,0,D75/D$12)</f>
        <v>1.0155162150159304E-2</v>
      </c>
      <c r="G75" s="4"/>
      <c r="H75" s="4">
        <f>SUM(OSRRefH25x_0)</f>
        <v>6782</v>
      </c>
      <c r="I75" s="4"/>
      <c r="J75" s="12">
        <f t="shared" ref="J75:J76" si="67">IF(H$12=0,0,H75/H$12)</f>
        <v>0.22930367014352615</v>
      </c>
      <c r="K75" s="4"/>
      <c r="L75" s="4">
        <f t="shared" ref="L75:L76" si="68">+D75-H75</f>
        <v>-6545.56</v>
      </c>
      <c r="M75" s="4"/>
      <c r="N75" s="12">
        <f t="shared" ref="N75:N76" si="69">IF(H75=0,0,L75/H75)</f>
        <v>-0.96513712769094673</v>
      </c>
      <c r="O75" s="10"/>
      <c r="P75" s="4">
        <f>SUM(OSRRefP25x_0)</f>
        <v>15135.44</v>
      </c>
      <c r="Q75" s="4"/>
      <c r="R75" s="12">
        <f t="shared" ref="R75:R76" si="70">IF(P$12=0,0,P75/P$12)</f>
        <v>0.12381593968330711</v>
      </c>
      <c r="S75" s="4"/>
      <c r="T75" s="4">
        <f>SUM(OSRRefT25x_0)</f>
        <v>47474</v>
      </c>
      <c r="U75" s="4"/>
      <c r="V75" s="12">
        <f t="shared" ref="V75:V76" si="71">IF(T$12=0,0,T75/T$12)</f>
        <v>0.45470471012167668</v>
      </c>
      <c r="W75" s="4"/>
      <c r="X75" s="4">
        <f t="shared" ref="X75:X76" si="72">+P75-T75</f>
        <v>-32338.559999999998</v>
      </c>
      <c r="Y75" s="4"/>
      <c r="Z75" s="12">
        <f t="shared" ref="Z75:Z76" si="73">IF(T75=0,0,X75/T75)</f>
        <v>-0.68118464843914561</v>
      </c>
    </row>
    <row r="76" spans="1:26" s="24" customFormat="1" hidden="1" outlineLevel="1" x14ac:dyDescent="0.3">
      <c r="A76" s="44"/>
      <c r="B76" s="11" t="str">
        <f>CONCATENATE("          ", "9150", " - ", "MISC. INCOME")</f>
        <v xml:space="preserve">          9150 - MISC. INCOME</v>
      </c>
      <c r="C76" s="11"/>
      <c r="D76" s="2">
        <f>--236.44</f>
        <v>236.44</v>
      </c>
      <c r="E76" s="2"/>
      <c r="F76" s="19">
        <f t="shared" si="66"/>
        <v>1.0155162150159304E-2</v>
      </c>
      <c r="G76" s="2"/>
      <c r="H76" s="2">
        <f>--6782</f>
        <v>6782</v>
      </c>
      <c r="I76" s="2"/>
      <c r="J76" s="19">
        <f t="shared" si="67"/>
        <v>0.22930367014352615</v>
      </c>
      <c r="K76" s="2"/>
      <c r="L76" s="2">
        <f t="shared" si="68"/>
        <v>-6545.56</v>
      </c>
      <c r="M76" s="2"/>
      <c r="N76" s="19">
        <f t="shared" si="69"/>
        <v>-0.96513712769094673</v>
      </c>
      <c r="O76" s="11"/>
      <c r="P76" s="2">
        <f>--15135.44</f>
        <v>15135.44</v>
      </c>
      <c r="Q76" s="2"/>
      <c r="R76" s="19">
        <f t="shared" si="70"/>
        <v>0.12381593968330711</v>
      </c>
      <c r="S76" s="2"/>
      <c r="T76" s="2">
        <f>--47474</f>
        <v>47474</v>
      </c>
      <c r="U76" s="2"/>
      <c r="V76" s="19">
        <f t="shared" si="71"/>
        <v>0.45470471012167668</v>
      </c>
      <c r="W76" s="2"/>
      <c r="X76" s="2">
        <f t="shared" si="72"/>
        <v>-32338.559999999998</v>
      </c>
      <c r="Y76" s="2"/>
      <c r="Z76" s="19">
        <f t="shared" si="73"/>
        <v>-0.68118464843914561</v>
      </c>
    </row>
    <row r="77" spans="1:26" x14ac:dyDescent="0.3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10"/>
      <c r="B78" s="25" t="s">
        <v>276</v>
      </c>
      <c r="C78" s="25"/>
      <c r="D78" s="21">
        <f>+D29-D31+D75</f>
        <v>4467.3600000000015</v>
      </c>
      <c r="E78" s="13"/>
      <c r="F78" s="22">
        <f>IF(D$12=0,0,D78/D$12)</f>
        <v>0.19187432407010524</v>
      </c>
      <c r="G78" s="13"/>
      <c r="H78" s="21">
        <f>+H29-H31+H75</f>
        <v>18251.210000000003</v>
      </c>
      <c r="I78" s="13"/>
      <c r="J78" s="22">
        <f>IF(H$12=0,0,H78/H$12)</f>
        <v>0.61708484776765349</v>
      </c>
      <c r="K78" s="15"/>
      <c r="L78" s="21">
        <f>+D78-H78</f>
        <v>-13783.850000000002</v>
      </c>
      <c r="M78" s="15"/>
      <c r="N78" s="22">
        <f>IF(H78=0,0,L78/H78)</f>
        <v>-0.75522937931238532</v>
      </c>
      <c r="O78" s="26"/>
      <c r="P78" s="21">
        <f>+P29-P31+P75</f>
        <v>-24681.02999999997</v>
      </c>
      <c r="Q78" s="13"/>
      <c r="R78" s="22">
        <f>IF(P$12=0,0,P78/P$12)</f>
        <v>-0.20190393683975419</v>
      </c>
      <c r="S78" s="13"/>
      <c r="T78" s="21">
        <f>+T29-T31+T75</f>
        <v>-58351.529999999941</v>
      </c>
      <c r="U78" s="13"/>
      <c r="V78" s="22">
        <f>IF(T$12=0,0,T78/T$12)</f>
        <v>-0.55888940333248283</v>
      </c>
      <c r="W78" s="15"/>
      <c r="X78" s="21">
        <f>+P78-T78</f>
        <v>33670.499999999971</v>
      </c>
      <c r="Y78" s="15"/>
      <c r="Z78" s="22">
        <f>IF(T78=0,0,X78/T78)</f>
        <v>-0.57702857148732867</v>
      </c>
    </row>
    <row r="79" spans="1:26" x14ac:dyDescent="0.3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51"/>
      <c r="B80" s="10" t="s">
        <v>127</v>
      </c>
      <c r="C80" s="10"/>
      <c r="D80" s="4">
        <v>4269.04</v>
      </c>
      <c r="E80" s="4"/>
      <c r="F80" s="12">
        <f>IF(D$12=0,0,D80/D$12)</f>
        <v>0.18335642626254472</v>
      </c>
      <c r="G80" s="4"/>
      <c r="H80" s="4">
        <v>5107.41</v>
      </c>
      <c r="I80" s="4"/>
      <c r="J80" s="12">
        <f>IF(H$12=0,0,H80/H$12)</f>
        <v>0.17268473281152269</v>
      </c>
      <c r="K80" s="4"/>
      <c r="L80" s="4">
        <f>+D80-H80</f>
        <v>-838.36999999999989</v>
      </c>
      <c r="M80" s="4"/>
      <c r="N80" s="12">
        <f>IF(H80=0,0,L80/H80)</f>
        <v>-0.16414777744492803</v>
      </c>
      <c r="O80" s="10"/>
      <c r="P80" s="4">
        <v>16180.78</v>
      </c>
      <c r="Q80" s="4"/>
      <c r="R80" s="12">
        <f>IF(P$12=0,0,P80/P$12)</f>
        <v>0.13236737620504338</v>
      </c>
      <c r="S80" s="4"/>
      <c r="T80" s="4">
        <v>18952.490000000002</v>
      </c>
      <c r="U80" s="4"/>
      <c r="V80" s="12">
        <f>IF(T$12=0,0,T80/T$12)</f>
        <v>0.18152644545506966</v>
      </c>
      <c r="W80" s="4"/>
      <c r="X80" s="4">
        <f>+P80-T80</f>
        <v>-2771.7100000000009</v>
      </c>
      <c r="Y80" s="4"/>
      <c r="Z80" s="12">
        <f>IF(T80=0,0,X80/T80)</f>
        <v>-0.14624516356425993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5" t="s">
        <v>125</v>
      </c>
      <c r="C82" s="25"/>
      <c r="D82" s="36">
        <f>+D78-D80</f>
        <v>198.32000000000153</v>
      </c>
      <c r="E82" s="13"/>
      <c r="F82" s="31">
        <f>IF(D$12=0,0,D82/D$12)</f>
        <v>8.5178978075605167E-3</v>
      </c>
      <c r="G82" s="13"/>
      <c r="H82" s="36">
        <f>+H78-H80</f>
        <v>13143.800000000003</v>
      </c>
      <c r="I82" s="13"/>
      <c r="J82" s="31">
        <f>IF(H$12=0,0,H82/H$12)</f>
        <v>0.44440011495613085</v>
      </c>
      <c r="K82" s="15"/>
      <c r="L82" s="36">
        <f>D82-H82</f>
        <v>-12945.480000000001</v>
      </c>
      <c r="M82" s="15"/>
      <c r="N82" s="31">
        <f>IF(H82=0,0,L82/H82)</f>
        <v>-0.98491151721724302</v>
      </c>
      <c r="O82" s="26"/>
      <c r="P82" s="36">
        <f>+P78-P80</f>
        <v>-40861.809999999969</v>
      </c>
      <c r="Q82" s="13"/>
      <c r="R82" s="31">
        <f>IF(P$12=0,0,P82/P$12)</f>
        <v>-0.33427131304479757</v>
      </c>
      <c r="S82" s="13"/>
      <c r="T82" s="36">
        <f>+T78-T80</f>
        <v>-77304.019999999946</v>
      </c>
      <c r="U82" s="13"/>
      <c r="V82" s="31">
        <f>IF(T$12=0,0,T82/T$12)</f>
        <v>-0.74041584878755251</v>
      </c>
      <c r="W82" s="15"/>
      <c r="X82" s="36">
        <f>P82-T82</f>
        <v>36442.209999999977</v>
      </c>
      <c r="Y82" s="15"/>
      <c r="Z82" s="31">
        <f>IF(T82=0,0,X82/T82)</f>
        <v>-0.47141416448976398</v>
      </c>
    </row>
    <row r="83" spans="1:26" ht="15" thickTop="1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293</v>
      </c>
      <c r="C85" s="25"/>
      <c r="D85" s="35">
        <f>SUM(D82:D84)</f>
        <v>198.32000000000153</v>
      </c>
      <c r="E85" s="13"/>
      <c r="F85" s="32">
        <f>IF(D$12=0,0,D85/D$12)</f>
        <v>8.5178978075605167E-3</v>
      </c>
      <c r="G85" s="13"/>
      <c r="H85" s="35">
        <f>SUM(H82:H84)</f>
        <v>13143.800000000003</v>
      </c>
      <c r="I85" s="13"/>
      <c r="J85" s="32">
        <f>IF(H$12=0,0,H85/H$12)</f>
        <v>0.44440011495613085</v>
      </c>
      <c r="K85" s="15"/>
      <c r="L85" s="35">
        <f>+D85-H85</f>
        <v>-12945.480000000001</v>
      </c>
      <c r="M85" s="15"/>
      <c r="N85" s="32">
        <f>IF(H85=0,0,L85/H85)</f>
        <v>-0.98491151721724302</v>
      </c>
      <c r="O85" s="26"/>
      <c r="P85" s="35">
        <f>SUM(P82:P84)</f>
        <v>-40861.809999999969</v>
      </c>
      <c r="Q85" s="13"/>
      <c r="R85" s="32">
        <f>IF(P$12=0,0,P85/P$12)</f>
        <v>-0.33427131304479757</v>
      </c>
      <c r="S85" s="13"/>
      <c r="T85" s="35">
        <f>SUM(T82:T84)</f>
        <v>-77304.019999999946</v>
      </c>
      <c r="U85" s="13"/>
      <c r="V85" s="32">
        <f>IF(T$12=0,0,T85/T$12)</f>
        <v>-0.74041584878755251</v>
      </c>
      <c r="W85" s="15"/>
      <c r="X85" s="35">
        <f>+P85-T85</f>
        <v>36442.209999999977</v>
      </c>
      <c r="Y85" s="15"/>
      <c r="Z85" s="32">
        <f>IF(T85=0,0,X85/T85)</f>
        <v>-0.47141416448976398</v>
      </c>
    </row>
    <row r="86" spans="1:26" ht="15" thickTop="1" x14ac:dyDescent="0.3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A87" s="9"/>
      <c r="B87" s="54">
        <v>44604.028475694446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53" t="s">
        <v>56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155777.30000000002</v>
      </c>
      <c r="E12" s="4"/>
      <c r="F12" s="12"/>
      <c r="G12" s="4"/>
      <c r="H12" s="4">
        <f>SUM(OSRRefH13x_0)</f>
        <v>129191.81000000001</v>
      </c>
      <c r="I12" s="4"/>
      <c r="J12" s="12"/>
      <c r="K12" s="4"/>
      <c r="L12" s="4">
        <f t="shared" ref="L12:L33" si="0">+D12-H12</f>
        <v>26585.490000000005</v>
      </c>
      <c r="M12" s="4"/>
      <c r="N12" s="12">
        <f t="shared" ref="N12:N33" si="1">IF(H12=0,0,L12/H12)</f>
        <v>0.20578309104888307</v>
      </c>
      <c r="O12" s="10"/>
      <c r="P12" s="4">
        <f>SUM(OSRRefP13x_0)</f>
        <v>1122427.1000000001</v>
      </c>
      <c r="Q12" s="4"/>
      <c r="R12" s="12"/>
      <c r="S12" s="4"/>
      <c r="T12" s="4">
        <f>SUM(OSRRefT13x_0)</f>
        <v>1404536.33</v>
      </c>
      <c r="U12" s="4"/>
      <c r="V12" s="12"/>
      <c r="W12" s="4"/>
      <c r="X12" s="4">
        <f t="shared" ref="X12:X33" si="2">+P12-T12</f>
        <v>-282109.23</v>
      </c>
      <c r="Y12" s="4"/>
      <c r="Z12" s="12">
        <f t="shared" ref="Z12:Z33" si="3">IF(T12=0,0,X12/T12)</f>
        <v>-0.20085577280866773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--88232.58</f>
        <v>88232.58</v>
      </c>
      <c r="E13" s="2"/>
      <c r="F13" s="19"/>
      <c r="G13" s="2"/>
      <c r="H13" s="2">
        <f>-339.19</f>
        <v>-339.19</v>
      </c>
      <c r="I13" s="2"/>
      <c r="J13" s="19"/>
      <c r="K13" s="2"/>
      <c r="L13" s="2">
        <f t="shared" si="0"/>
        <v>88571.77</v>
      </c>
      <c r="M13" s="2"/>
      <c r="N13" s="19">
        <f t="shared" si="1"/>
        <v>-261.12730328134677</v>
      </c>
      <c r="O13" s="11"/>
      <c r="P13" s="2">
        <f>--906659.33</f>
        <v>906659.33</v>
      </c>
      <c r="Q13" s="2"/>
      <c r="R13" s="19"/>
      <c r="S13" s="2"/>
      <c r="T13" s="2">
        <f>-2647.96</f>
        <v>-2647.96</v>
      </c>
      <c r="U13" s="2"/>
      <c r="V13" s="19"/>
      <c r="W13" s="2"/>
      <c r="X13" s="2">
        <f t="shared" si="2"/>
        <v>909307.28999999992</v>
      </c>
      <c r="Y13" s="2"/>
      <c r="Z13" s="19">
        <f t="shared" si="3"/>
        <v>-343.39917899061913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--2318.54</f>
        <v>2318.54</v>
      </c>
      <c r="I14" s="2"/>
      <c r="J14" s="19"/>
      <c r="K14" s="2"/>
      <c r="L14" s="2">
        <f t="shared" si="0"/>
        <v>-2318.54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--59198.06</f>
        <v>59198.06</v>
      </c>
      <c r="U14" s="2"/>
      <c r="V14" s="19"/>
      <c r="W14" s="2"/>
      <c r="X14" s="2">
        <f t="shared" si="2"/>
        <v>-59198.06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--91766.28</f>
        <v>91766.28</v>
      </c>
      <c r="I15" s="2"/>
      <c r="J15" s="19"/>
      <c r="K15" s="2"/>
      <c r="L15" s="2">
        <f t="shared" si="0"/>
        <v>-91766.28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--1085023.17</f>
        <v>1085023.17</v>
      </c>
      <c r="U15" s="2"/>
      <c r="V15" s="19"/>
      <c r="W15" s="2"/>
      <c r="X15" s="2">
        <f t="shared" si="2"/>
        <v>-1085023.17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--8639.61</f>
        <v>8639.61</v>
      </c>
      <c r="I16" s="2"/>
      <c r="J16" s="19"/>
      <c r="K16" s="2"/>
      <c r="L16" s="2">
        <f t="shared" si="0"/>
        <v>-8639.61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--93277.59</f>
        <v>93277.59</v>
      </c>
      <c r="U16" s="2"/>
      <c r="V16" s="19"/>
      <c r="W16" s="2"/>
      <c r="X16" s="2">
        <f t="shared" si="2"/>
        <v>-93277.59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--149.99</f>
        <v>149.99</v>
      </c>
      <c r="I17" s="2"/>
      <c r="J17" s="19"/>
      <c r="K17" s="2"/>
      <c r="L17" s="2">
        <f t="shared" si="0"/>
        <v>-149.99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--2878.93</f>
        <v>2878.93</v>
      </c>
      <c r="U17" s="2"/>
      <c r="V17" s="19"/>
      <c r="W17" s="2"/>
      <c r="X17" s="2">
        <f t="shared" si="2"/>
        <v>-2878.93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--734.26</f>
        <v>734.26</v>
      </c>
      <c r="I18" s="2"/>
      <c r="J18" s="19"/>
      <c r="K18" s="2"/>
      <c r="L18" s="2">
        <f t="shared" si="0"/>
        <v>-734.26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--57869.84</f>
        <v>57869.84</v>
      </c>
      <c r="U18" s="2"/>
      <c r="V18" s="19"/>
      <c r="W18" s="2"/>
      <c r="X18" s="2">
        <f t="shared" si="2"/>
        <v>-57869.84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--75295.63</f>
        <v>75295.63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75295.63</v>
      </c>
      <c r="M19" s="2"/>
      <c r="N19" s="19">
        <f t="shared" si="1"/>
        <v>0</v>
      </c>
      <c r="O19" s="11"/>
      <c r="P19" s="2">
        <f>--415683.21</f>
        <v>415683.21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415683.21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--2038.6</f>
        <v>2038.6</v>
      </c>
      <c r="I20" s="2"/>
      <c r="J20" s="19"/>
      <c r="K20" s="2"/>
      <c r="L20" s="2">
        <f t="shared" si="0"/>
        <v>-2038.6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--5572.72</f>
        <v>5572.72</v>
      </c>
      <c r="U20" s="2"/>
      <c r="V20" s="19"/>
      <c r="W20" s="2"/>
      <c r="X20" s="2">
        <f t="shared" si="2"/>
        <v>-5572.72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--22090.89</f>
        <v>22090.89</v>
      </c>
      <c r="I21" s="2"/>
      <c r="J21" s="19"/>
      <c r="K21" s="2"/>
      <c r="L21" s="2">
        <f t="shared" si="0"/>
        <v>-22090.89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--186399.2</f>
        <v>186399.2</v>
      </c>
      <c r="U21" s="2"/>
      <c r="V21" s="19"/>
      <c r="W21" s="2"/>
      <c r="X21" s="2">
        <f t="shared" si="2"/>
        <v>-186399.2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--2888.95</f>
        <v>2888.95</v>
      </c>
      <c r="I22" s="2"/>
      <c r="J22" s="19"/>
      <c r="K22" s="2"/>
      <c r="L22" s="2">
        <f t="shared" si="0"/>
        <v>-2888.95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--10518.14</f>
        <v>10518.14</v>
      </c>
      <c r="U22" s="2"/>
      <c r="V22" s="19"/>
      <c r="W22" s="2"/>
      <c r="X22" s="2">
        <f t="shared" si="2"/>
        <v>-10518.14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--3149.85</f>
        <v>3149.85</v>
      </c>
      <c r="I23" s="2"/>
      <c r="J23" s="19"/>
      <c r="K23" s="2"/>
      <c r="L23" s="2">
        <f t="shared" si="0"/>
        <v>-3149.85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--29830.52</f>
        <v>29830.52</v>
      </c>
      <c r="U23" s="2"/>
      <c r="V23" s="19"/>
      <c r="W23" s="2"/>
      <c r="X23" s="2">
        <f t="shared" si="2"/>
        <v>-29830.52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--535.04</f>
        <v>535.04</v>
      </c>
      <c r="I24" s="2"/>
      <c r="J24" s="19"/>
      <c r="K24" s="2"/>
      <c r="L24" s="2">
        <f t="shared" si="0"/>
        <v>-535.04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--2485.03</f>
        <v>2485.0300000000002</v>
      </c>
      <c r="U24" s="2"/>
      <c r="V24" s="19"/>
      <c r="W24" s="2"/>
      <c r="X24" s="2">
        <f t="shared" si="2"/>
        <v>-2485.0300000000002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-7468.03</f>
        <v>-7468.03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-7468.03</v>
      </c>
      <c r="M25" s="2"/>
      <c r="N25" s="19">
        <f t="shared" si="1"/>
        <v>0</v>
      </c>
      <c r="O25" s="11"/>
      <c r="P25" s="2">
        <f>-198450.44</f>
        <v>-198450.44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-198450.44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8">0</f>
        <v>0</v>
      </c>
      <c r="E26" s="2"/>
      <c r="F26" s="19"/>
      <c r="G26" s="2"/>
      <c r="H26" s="2">
        <f>-129.99</f>
        <v>-129.99</v>
      </c>
      <c r="I26" s="2"/>
      <c r="J26" s="19"/>
      <c r="K26" s="2"/>
      <c r="L26" s="2">
        <f t="shared" si="0"/>
        <v>129.99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-14762.14</f>
        <v>-14762.14</v>
      </c>
      <c r="U26" s="2"/>
      <c r="V26" s="19"/>
      <c r="W26" s="2"/>
      <c r="X26" s="2">
        <f t="shared" si="2"/>
        <v>14762.14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-4897</f>
        <v>-4897</v>
      </c>
      <c r="I27" s="2"/>
      <c r="J27" s="19"/>
      <c r="K27" s="2"/>
      <c r="L27" s="2">
        <f t="shared" si="0"/>
        <v>4897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-96917.01</f>
        <v>-96917.01</v>
      </c>
      <c r="U27" s="2"/>
      <c r="V27" s="19"/>
      <c r="W27" s="2"/>
      <c r="X27" s="2">
        <f t="shared" si="2"/>
        <v>96917.01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--264.97</f>
        <v>264.97000000000003</v>
      </c>
      <c r="I28" s="2"/>
      <c r="J28" s="19"/>
      <c r="K28" s="2"/>
      <c r="L28" s="2">
        <f t="shared" si="0"/>
        <v>-264.97000000000003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-3146.29</f>
        <v>-3146.29</v>
      </c>
      <c r="U28" s="2"/>
      <c r="V28" s="19"/>
      <c r="W28" s="2"/>
      <c r="X28" s="2">
        <f t="shared" si="2"/>
        <v>3146.29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9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-18.99</f>
        <v>-18.989999999999998</v>
      </c>
      <c r="I30" s="2"/>
      <c r="J30" s="19"/>
      <c r="K30" s="2"/>
      <c r="L30" s="2">
        <f t="shared" si="0"/>
        <v>18.989999999999998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-4727.34</f>
        <v>-4727.34</v>
      </c>
      <c r="U30" s="2"/>
      <c r="V30" s="19"/>
      <c r="W30" s="2"/>
      <c r="X30" s="2">
        <f t="shared" si="2"/>
        <v>4727.34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>-19.99</f>
        <v>-19.989999999999998</v>
      </c>
      <c r="E31" s="2"/>
      <c r="F31" s="19"/>
      <c r="G31" s="2"/>
      <c r="H31" s="2">
        <f t="shared" ref="H31:H33" si="10">0</f>
        <v>0</v>
      </c>
      <c r="I31" s="2"/>
      <c r="J31" s="19"/>
      <c r="K31" s="2"/>
      <c r="L31" s="2">
        <f t="shared" si="0"/>
        <v>-19.989999999999998</v>
      </c>
      <c r="M31" s="2"/>
      <c r="N31" s="19">
        <f t="shared" si="1"/>
        <v>0</v>
      </c>
      <c r="O31" s="11"/>
      <c r="P31" s="2">
        <f>-724.78</f>
        <v>-724.78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-724.78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-262.89</f>
        <v>-262.89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-262.89</v>
      </c>
      <c r="M33" s="2"/>
      <c r="N33" s="19">
        <f t="shared" si="1"/>
        <v>0</v>
      </c>
      <c r="O33" s="11"/>
      <c r="P33" s="2">
        <f>-740.22</f>
        <v>-740.22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-740.22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131815.53</v>
      </c>
      <c r="E35" s="4"/>
      <c r="F35" s="12">
        <f t="shared" ref="F35:F48" si="11">IF(D$12=0,0,D35/D$12)</f>
        <v>0.84617932137737639</v>
      </c>
      <c r="G35" s="4"/>
      <c r="H35" s="4">
        <f>SUM(OSRRefH16x_0)</f>
        <v>110569</v>
      </c>
      <c r="I35" s="4"/>
      <c r="J35" s="12">
        <f t="shared" ref="J35:J48" si="12">IF(H$12=0,0,H35/H$12)</f>
        <v>0.85585146612621954</v>
      </c>
      <c r="K35" s="4"/>
      <c r="L35" s="4">
        <f t="shared" ref="L35:L48" si="13">+D35-H35</f>
        <v>21246.53</v>
      </c>
      <c r="M35" s="4"/>
      <c r="N35" s="12">
        <f t="shared" ref="N35:N48" si="14">IF(H35=0,0,L35/H35)</f>
        <v>0.19215630059058145</v>
      </c>
      <c r="O35" s="10"/>
      <c r="P35" s="4">
        <f>SUM(OSRRefP16x_0)</f>
        <v>954307.76</v>
      </c>
      <c r="Q35" s="4"/>
      <c r="R35" s="12">
        <f t="shared" ref="R35:R48" si="15">IF(P$12=0,0,P35/P$12)</f>
        <v>0.8502180319773105</v>
      </c>
      <c r="S35" s="4"/>
      <c r="T35" s="4">
        <f>SUM(OSRRefT16x_0)</f>
        <v>1326535.8400000001</v>
      </c>
      <c r="U35" s="4"/>
      <c r="V35" s="12">
        <f t="shared" ref="V35:V48" si="16">IF(T$12=0,0,T35/T$12)</f>
        <v>0.94446530977237164</v>
      </c>
      <c r="W35" s="4"/>
      <c r="X35" s="4">
        <f t="shared" ref="X35:X48" si="17">+P35-T35</f>
        <v>-372228.08000000007</v>
      </c>
      <c r="Y35" s="4"/>
      <c r="Z35" s="12">
        <f t="shared" ref="Z35:Z48" si="18">IF(T35=0,0,X35/T35)</f>
        <v>-0.28060160063221512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98491.18</v>
      </c>
      <c r="E36" s="2"/>
      <c r="F36" s="19">
        <f t="shared" si="11"/>
        <v>0.63225630435243119</v>
      </c>
      <c r="G36" s="2"/>
      <c r="H36" s="2"/>
      <c r="I36" s="2"/>
      <c r="J36" s="19">
        <f t="shared" si="12"/>
        <v>0</v>
      </c>
      <c r="K36" s="2"/>
      <c r="L36" s="2">
        <f t="shared" si="13"/>
        <v>98491.18</v>
      </c>
      <c r="M36" s="2"/>
      <c r="N36" s="19">
        <f t="shared" si="14"/>
        <v>0</v>
      </c>
      <c r="O36" s="11"/>
      <c r="P36" s="2">
        <v>1025729.36</v>
      </c>
      <c r="Q36" s="2"/>
      <c r="R36" s="19">
        <f t="shared" si="15"/>
        <v>0.91384942505397448</v>
      </c>
      <c r="S36" s="2"/>
      <c r="T36" s="2">
        <v>0</v>
      </c>
      <c r="U36" s="2"/>
      <c r="V36" s="19">
        <f t="shared" si="16"/>
        <v>0</v>
      </c>
      <c r="W36" s="2"/>
      <c r="X36" s="2">
        <f t="shared" si="17"/>
        <v>1025729.36</v>
      </c>
      <c r="Y36" s="2"/>
      <c r="Z36" s="19">
        <f t="shared" si="18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1"/>
        <v>0</v>
      </c>
      <c r="G37" s="2"/>
      <c r="H37" s="2">
        <v>313.26</v>
      </c>
      <c r="I37" s="2"/>
      <c r="J37" s="19">
        <f t="shared" si="12"/>
        <v>2.4247667092828868E-3</v>
      </c>
      <c r="K37" s="2"/>
      <c r="L37" s="2">
        <f t="shared" si="13"/>
        <v>-313.26</v>
      </c>
      <c r="M37" s="2"/>
      <c r="N37" s="19">
        <f t="shared" si="14"/>
        <v>-1</v>
      </c>
      <c r="O37" s="11"/>
      <c r="P37" s="2">
        <v>0</v>
      </c>
      <c r="Q37" s="2"/>
      <c r="R37" s="19">
        <f t="shared" si="15"/>
        <v>0</v>
      </c>
      <c r="S37" s="2"/>
      <c r="T37" s="2">
        <v>25573.77</v>
      </c>
      <c r="U37" s="2"/>
      <c r="V37" s="19">
        <f t="shared" si="16"/>
        <v>1.8207980422977027E-2</v>
      </c>
      <c r="W37" s="2"/>
      <c r="X37" s="2">
        <f t="shared" si="17"/>
        <v>-25573.77</v>
      </c>
      <c r="Y37" s="2"/>
      <c r="Z37" s="19">
        <f t="shared" si="18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-6938.92</v>
      </c>
      <c r="E38" s="2"/>
      <c r="F38" s="19">
        <f t="shared" si="11"/>
        <v>-4.4543845605232592E-2</v>
      </c>
      <c r="G38" s="2"/>
      <c r="H38" s="2">
        <v>98264.71</v>
      </c>
      <c r="I38" s="2"/>
      <c r="J38" s="19">
        <f t="shared" si="12"/>
        <v>0.76061098609888655</v>
      </c>
      <c r="K38" s="2"/>
      <c r="L38" s="2">
        <f t="shared" si="13"/>
        <v>-105203.63</v>
      </c>
      <c r="M38" s="2"/>
      <c r="N38" s="19">
        <f t="shared" si="14"/>
        <v>-1.0706145675288716</v>
      </c>
      <c r="O38" s="11"/>
      <c r="P38" s="2">
        <v>-93808.4</v>
      </c>
      <c r="Q38" s="2"/>
      <c r="R38" s="19">
        <f t="shared" si="15"/>
        <v>-8.3576385495325256E-2</v>
      </c>
      <c r="S38" s="2"/>
      <c r="T38" s="2">
        <v>1079201.53</v>
      </c>
      <c r="U38" s="2"/>
      <c r="V38" s="19">
        <f t="shared" si="16"/>
        <v>0.76836854052753478</v>
      </c>
      <c r="W38" s="2"/>
      <c r="X38" s="2">
        <f t="shared" si="17"/>
        <v>-1173009.93</v>
      </c>
      <c r="Y38" s="2"/>
      <c r="Z38" s="19">
        <f t="shared" si="18"/>
        <v>-1.0869238945574882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1"/>
        <v>0</v>
      </c>
      <c r="G39" s="2"/>
      <c r="H39" s="2">
        <v>8829.83</v>
      </c>
      <c r="I39" s="2"/>
      <c r="J39" s="19">
        <f t="shared" si="12"/>
        <v>6.8346669963057244E-2</v>
      </c>
      <c r="K39" s="2"/>
      <c r="L39" s="2">
        <f t="shared" si="13"/>
        <v>-8829.83</v>
      </c>
      <c r="M39" s="2"/>
      <c r="N39" s="19">
        <f t="shared" si="14"/>
        <v>-1</v>
      </c>
      <c r="O39" s="11"/>
      <c r="P39" s="2">
        <v>0</v>
      </c>
      <c r="Q39" s="2"/>
      <c r="R39" s="19">
        <f t="shared" si="15"/>
        <v>0</v>
      </c>
      <c r="S39" s="2"/>
      <c r="T39" s="2">
        <v>90556.67</v>
      </c>
      <c r="U39" s="2"/>
      <c r="V39" s="19">
        <f t="shared" si="16"/>
        <v>6.4474423384975735E-2</v>
      </c>
      <c r="W39" s="2"/>
      <c r="X39" s="2">
        <f t="shared" si="17"/>
        <v>-90556.67</v>
      </c>
      <c r="Y39" s="2"/>
      <c r="Z39" s="19">
        <f t="shared" si="18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1"/>
        <v>0</v>
      </c>
      <c r="G40" s="2"/>
      <c r="H40" s="2">
        <v>4174.1400000000003</v>
      </c>
      <c r="I40" s="2"/>
      <c r="J40" s="19">
        <f t="shared" si="12"/>
        <v>3.2309633249971492E-2</v>
      </c>
      <c r="K40" s="2"/>
      <c r="L40" s="2">
        <f t="shared" si="13"/>
        <v>-4174.1400000000003</v>
      </c>
      <c r="M40" s="2"/>
      <c r="N40" s="19">
        <f t="shared" si="14"/>
        <v>-1</v>
      </c>
      <c r="O40" s="11"/>
      <c r="P40" s="2">
        <v>0</v>
      </c>
      <c r="Q40" s="2"/>
      <c r="R40" s="19">
        <f t="shared" si="15"/>
        <v>0</v>
      </c>
      <c r="S40" s="2"/>
      <c r="T40" s="2">
        <v>28746.22</v>
      </c>
      <c r="U40" s="2"/>
      <c r="V40" s="19">
        <f t="shared" si="16"/>
        <v>2.0466697361968558E-2</v>
      </c>
      <c r="W40" s="2"/>
      <c r="X40" s="2">
        <f t="shared" si="17"/>
        <v>-28746.22</v>
      </c>
      <c r="Y40" s="2"/>
      <c r="Z40" s="19">
        <f t="shared" si="18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1"/>
        <v>0</v>
      </c>
      <c r="G41" s="2"/>
      <c r="H41" s="2">
        <v>21.24</v>
      </c>
      <c r="I41" s="2"/>
      <c r="J41" s="19">
        <f t="shared" si="12"/>
        <v>1.644067065861218E-4</v>
      </c>
      <c r="K41" s="2"/>
      <c r="L41" s="2">
        <f t="shared" si="13"/>
        <v>-21.24</v>
      </c>
      <c r="M41" s="2"/>
      <c r="N41" s="19">
        <f t="shared" si="14"/>
        <v>-1</v>
      </c>
      <c r="O41" s="11"/>
      <c r="P41" s="2">
        <v>0</v>
      </c>
      <c r="Q41" s="2"/>
      <c r="R41" s="19">
        <f t="shared" si="15"/>
        <v>0</v>
      </c>
      <c r="S41" s="2"/>
      <c r="T41" s="2">
        <v>22739.85</v>
      </c>
      <c r="U41" s="2"/>
      <c r="V41" s="19">
        <f t="shared" si="16"/>
        <v>1.6190289645266774E-2</v>
      </c>
      <c r="W41" s="2"/>
      <c r="X41" s="2">
        <f t="shared" si="17"/>
        <v>-22739.85</v>
      </c>
      <c r="Y41" s="2"/>
      <c r="Z41" s="19">
        <f t="shared" si="18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-98515.33</v>
      </c>
      <c r="E42" s="2"/>
      <c r="F42" s="19">
        <f t="shared" si="11"/>
        <v>-0.63241133335858302</v>
      </c>
      <c r="G42" s="2"/>
      <c r="H42" s="2">
        <v>-111613.24</v>
      </c>
      <c r="I42" s="2"/>
      <c r="J42" s="19">
        <f t="shared" si="12"/>
        <v>-0.86393433144097909</v>
      </c>
      <c r="K42" s="2"/>
      <c r="L42" s="2">
        <f t="shared" si="13"/>
        <v>13097.910000000003</v>
      </c>
      <c r="M42" s="2"/>
      <c r="N42" s="19">
        <f t="shared" si="14"/>
        <v>-0.11735086267543172</v>
      </c>
      <c r="O42" s="11"/>
      <c r="P42" s="2">
        <v>-1025797.7</v>
      </c>
      <c r="Q42" s="2"/>
      <c r="R42" s="19">
        <f t="shared" si="15"/>
        <v>-0.91391031096807973</v>
      </c>
      <c r="S42" s="2"/>
      <c r="T42" s="2">
        <v>-1243263.78</v>
      </c>
      <c r="U42" s="2"/>
      <c r="V42" s="19">
        <f t="shared" si="16"/>
        <v>-0.88517737380278372</v>
      </c>
      <c r="W42" s="2"/>
      <c r="X42" s="2">
        <f t="shared" si="17"/>
        <v>217466.08000000007</v>
      </c>
      <c r="Y42" s="2"/>
      <c r="Z42" s="19">
        <f t="shared" si="18"/>
        <v>-0.1749154793200845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138754.45000000001</v>
      </c>
      <c r="E43" s="2"/>
      <c r="F43" s="19">
        <f t="shared" si="11"/>
        <v>0.89072316698260912</v>
      </c>
      <c r="G43" s="2"/>
      <c r="H43" s="2">
        <v>110569</v>
      </c>
      <c r="I43" s="2"/>
      <c r="J43" s="19">
        <f t="shared" si="12"/>
        <v>0.85585146612621954</v>
      </c>
      <c r="K43" s="2"/>
      <c r="L43" s="2">
        <f t="shared" si="13"/>
        <v>28185.450000000012</v>
      </c>
      <c r="M43" s="2"/>
      <c r="N43" s="19">
        <f t="shared" si="14"/>
        <v>0.25491276940191204</v>
      </c>
      <c r="O43" s="11"/>
      <c r="P43" s="2">
        <v>1048116.16</v>
      </c>
      <c r="Q43" s="2"/>
      <c r="R43" s="19">
        <f t="shared" si="15"/>
        <v>0.93379441747263581</v>
      </c>
      <c r="S43" s="2"/>
      <c r="T43" s="2">
        <v>1322590</v>
      </c>
      <c r="U43" s="2"/>
      <c r="V43" s="19">
        <f t="shared" si="16"/>
        <v>0.94165595559924031</v>
      </c>
      <c r="W43" s="2"/>
      <c r="X43" s="2">
        <f t="shared" si="17"/>
        <v>-274473.83999999997</v>
      </c>
      <c r="Y43" s="2"/>
      <c r="Z43" s="19">
        <f t="shared" si="18"/>
        <v>-0.20752753309793659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>
        <v>24.15</v>
      </c>
      <c r="E44" s="2"/>
      <c r="F44" s="19">
        <f t="shared" si="11"/>
        <v>1.5502900615173068E-4</v>
      </c>
      <c r="G44" s="2"/>
      <c r="H44" s="2"/>
      <c r="I44" s="2"/>
      <c r="J44" s="19">
        <f t="shared" si="12"/>
        <v>0</v>
      </c>
      <c r="K44" s="2"/>
      <c r="L44" s="2">
        <f t="shared" si="13"/>
        <v>24.15</v>
      </c>
      <c r="M44" s="2"/>
      <c r="N44" s="19">
        <f t="shared" si="14"/>
        <v>0</v>
      </c>
      <c r="O44" s="11"/>
      <c r="P44" s="2">
        <v>68.34</v>
      </c>
      <c r="Q44" s="2"/>
      <c r="R44" s="19">
        <f t="shared" si="15"/>
        <v>6.0885914105245678E-5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68.34</v>
      </c>
      <c r="Y44" s="2"/>
      <c r="Z44" s="19">
        <f t="shared" si="18"/>
        <v>0</v>
      </c>
    </row>
    <row r="45" spans="1:26" s="24" customFormat="1" hidden="1" outlineLevel="1" x14ac:dyDescent="0.3">
      <c r="A45" s="44"/>
      <c r="B45" s="11" t="str">
        <f>CONCATENATE("          ", "5581", " - ", "FREIGHT-IN-ELECTRONICS")</f>
        <v xml:space="preserve">          5581 - FREIGHT-IN-ELECTRONICS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/>
      <c r="Q45" s="2"/>
      <c r="R45" s="19">
        <f t="shared" si="15"/>
        <v>0</v>
      </c>
      <c r="S45" s="2"/>
      <c r="T45" s="2">
        <v>31</v>
      </c>
      <c r="U45" s="2"/>
      <c r="V45" s="19">
        <f t="shared" si="16"/>
        <v>2.2071340796147293E-5</v>
      </c>
      <c r="W45" s="2"/>
      <c r="X45" s="2">
        <f t="shared" si="17"/>
        <v>-31</v>
      </c>
      <c r="Y45" s="2"/>
      <c r="Z45" s="19">
        <f t="shared" si="18"/>
        <v>-1</v>
      </c>
    </row>
    <row r="46" spans="1:26" s="24" customFormat="1" hidden="1" outlineLevel="1" x14ac:dyDescent="0.3">
      <c r="A46" s="44"/>
      <c r="B46" s="11" t="str">
        <f>CONCATENATE("          ", "5582", " - ", "FREIGHT-IN-COMPUTER HARDWARE")</f>
        <v xml:space="preserve">          5582 - FREIGHT-IN-COMPUTER HARDWARE</v>
      </c>
      <c r="C46" s="11"/>
      <c r="D46" s="2"/>
      <c r="E46" s="2"/>
      <c r="F46" s="19">
        <f t="shared" si="11"/>
        <v>0</v>
      </c>
      <c r="G46" s="2"/>
      <c r="H46" s="2"/>
      <c r="I46" s="2"/>
      <c r="J46" s="19">
        <f t="shared" si="12"/>
        <v>0</v>
      </c>
      <c r="K46" s="2"/>
      <c r="L46" s="2">
        <f t="shared" si="13"/>
        <v>0</v>
      </c>
      <c r="M46" s="2"/>
      <c r="N46" s="19">
        <f t="shared" si="14"/>
        <v>0</v>
      </c>
      <c r="O46" s="11"/>
      <c r="P46" s="2"/>
      <c r="Q46" s="2"/>
      <c r="R46" s="19">
        <f t="shared" si="15"/>
        <v>0</v>
      </c>
      <c r="S46" s="2"/>
      <c r="T46" s="2">
        <v>94</v>
      </c>
      <c r="U46" s="2"/>
      <c r="V46" s="19">
        <f t="shared" si="16"/>
        <v>6.6926001123801467E-5</v>
      </c>
      <c r="W46" s="2"/>
      <c r="X46" s="2">
        <f t="shared" si="17"/>
        <v>-94</v>
      </c>
      <c r="Y46" s="2"/>
      <c r="Z46" s="19">
        <f t="shared" si="18"/>
        <v>-1</v>
      </c>
    </row>
    <row r="47" spans="1:26" s="24" customFormat="1" hidden="1" outlineLevel="1" x14ac:dyDescent="0.3">
      <c r="A47" s="44"/>
      <c r="B47" s="11" t="str">
        <f>CONCATENATE("          ", "5583", " - ", "FREIGHT-IN-COMPUTER EQUIPMENT")</f>
        <v xml:space="preserve">          5583 - FREIGHT-IN-COMPUTER EQUIPMENT</v>
      </c>
      <c r="C47" s="11"/>
      <c r="D47" s="2"/>
      <c r="E47" s="2"/>
      <c r="F47" s="19">
        <f t="shared" si="11"/>
        <v>0</v>
      </c>
      <c r="G47" s="2"/>
      <c r="H47" s="2">
        <v>10.06</v>
      </c>
      <c r="I47" s="2"/>
      <c r="J47" s="19">
        <f t="shared" si="12"/>
        <v>7.7868713194745076E-5</v>
      </c>
      <c r="K47" s="2"/>
      <c r="L47" s="2">
        <f t="shared" si="13"/>
        <v>-10.06</v>
      </c>
      <c r="M47" s="2"/>
      <c r="N47" s="19">
        <f t="shared" si="14"/>
        <v>-1</v>
      </c>
      <c r="O47" s="11"/>
      <c r="P47" s="2">
        <v>0</v>
      </c>
      <c r="Q47" s="2"/>
      <c r="R47" s="19">
        <f t="shared" si="15"/>
        <v>0</v>
      </c>
      <c r="S47" s="2"/>
      <c r="T47" s="2">
        <v>242.46</v>
      </c>
      <c r="U47" s="2"/>
      <c r="V47" s="19">
        <f t="shared" si="16"/>
        <v>1.7262636417528622E-4</v>
      </c>
      <c r="W47" s="2"/>
      <c r="X47" s="2">
        <f t="shared" si="17"/>
        <v>-242.46</v>
      </c>
      <c r="Y47" s="2"/>
      <c r="Z47" s="19">
        <f t="shared" si="18"/>
        <v>-1</v>
      </c>
    </row>
    <row r="48" spans="1:26" s="24" customFormat="1" hidden="1" outlineLevel="1" x14ac:dyDescent="0.3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11"/>
        <v>0</v>
      </c>
      <c r="G48" s="2"/>
      <c r="H48" s="2"/>
      <c r="I48" s="2"/>
      <c r="J48" s="19">
        <f t="shared" si="12"/>
        <v>0</v>
      </c>
      <c r="K48" s="2"/>
      <c r="L48" s="2">
        <f t="shared" si="13"/>
        <v>0</v>
      </c>
      <c r="M48" s="2"/>
      <c r="N48" s="19">
        <f t="shared" si="14"/>
        <v>0</v>
      </c>
      <c r="O48" s="11"/>
      <c r="P48" s="2"/>
      <c r="Q48" s="2"/>
      <c r="R48" s="19">
        <f t="shared" si="15"/>
        <v>0</v>
      </c>
      <c r="S48" s="2"/>
      <c r="T48" s="2">
        <v>24.12</v>
      </c>
      <c r="U48" s="2"/>
      <c r="V48" s="19">
        <f t="shared" si="16"/>
        <v>1.7172927096873315E-5</v>
      </c>
      <c r="W48" s="2"/>
      <c r="X48" s="2">
        <f t="shared" si="17"/>
        <v>-24.12</v>
      </c>
      <c r="Y48" s="2"/>
      <c r="Z48" s="19">
        <f t="shared" si="18"/>
        <v>-1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5" t="s">
        <v>107</v>
      </c>
      <c r="C50" s="25"/>
      <c r="D50" s="21">
        <f>D12-D35</f>
        <v>23961.770000000019</v>
      </c>
      <c r="E50" s="13"/>
      <c r="F50" s="22">
        <f>IF(D$12=0,0,D50/D$12)</f>
        <v>0.15382067862262355</v>
      </c>
      <c r="G50" s="13"/>
      <c r="H50" s="21">
        <f>H12-H35</f>
        <v>18622.810000000012</v>
      </c>
      <c r="I50" s="13"/>
      <c r="J50" s="22">
        <f>IF(H$12=0,0,H50/H$12)</f>
        <v>0.14414853387378046</v>
      </c>
      <c r="K50" s="15"/>
      <c r="L50" s="21">
        <f>+D50-H50</f>
        <v>5338.9600000000064</v>
      </c>
      <c r="M50" s="15"/>
      <c r="N50" s="22">
        <f>IF(H50=0,0,L50/H50)</f>
        <v>0.28668928051137305</v>
      </c>
      <c r="O50" s="26"/>
      <c r="P50" s="21">
        <f>P12-P35</f>
        <v>168119.34000000008</v>
      </c>
      <c r="Q50" s="13"/>
      <c r="R50" s="22">
        <f>IF(P$12=0,0,P50/P$12)</f>
        <v>0.14978196802268948</v>
      </c>
      <c r="S50" s="13"/>
      <c r="T50" s="21">
        <f>T12-T35</f>
        <v>78000.489999999991</v>
      </c>
      <c r="U50" s="13"/>
      <c r="V50" s="22">
        <f>IF(T$12=0,0,T50/T$12)</f>
        <v>5.5534690227628351E-2</v>
      </c>
      <c r="W50" s="15"/>
      <c r="X50" s="21">
        <f>+P50-T50</f>
        <v>90118.850000000093</v>
      </c>
      <c r="Y50" s="15"/>
      <c r="Z50" s="22">
        <f>IF(T50=0,0,X50/T50)</f>
        <v>1.1553626137476842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6" t="s">
        <v>294</v>
      </c>
      <c r="C52" s="10"/>
      <c r="D52" s="20">
        <f>SUM(OSRRefD22x_0)</f>
        <v>15488.850000000002</v>
      </c>
      <c r="E52" s="20"/>
      <c r="F52" s="30">
        <f t="shared" ref="F52:F62" si="19">IF(D$12=0,0,D52/D$12)</f>
        <v>9.9429441901997276E-2</v>
      </c>
      <c r="G52" s="20"/>
      <c r="H52" s="20">
        <f>SUM(OSRRefH22x_0)</f>
        <v>14258.260000000002</v>
      </c>
      <c r="I52" s="20"/>
      <c r="J52" s="30">
        <f t="shared" ref="J52:J62" si="20">IF(H$12=0,0,H52/H$12)</f>
        <v>0.11036504558609404</v>
      </c>
      <c r="K52" s="4"/>
      <c r="L52" s="20">
        <f t="shared" ref="L52:L62" si="21">+D52-H52</f>
        <v>1230.5900000000001</v>
      </c>
      <c r="M52" s="4"/>
      <c r="N52" s="30">
        <f t="shared" ref="N52:N62" si="22">IF(H52=0,0,L52/H52)</f>
        <v>8.6307165109908213E-2</v>
      </c>
      <c r="O52" s="10"/>
      <c r="P52" s="20">
        <f>SUM(OSRRefP22x_0)</f>
        <v>99897.400000000023</v>
      </c>
      <c r="Q52" s="20"/>
      <c r="R52" s="30">
        <f t="shared" ref="R52:R62" si="23">IF(P$12=0,0,P52/P$12)</f>
        <v>8.9001236695015667E-2</v>
      </c>
      <c r="S52" s="20"/>
      <c r="T52" s="20">
        <f>SUM(OSRRefT22x_0)</f>
        <v>94484.69</v>
      </c>
      <c r="U52" s="20"/>
      <c r="V52" s="30">
        <f t="shared" ref="V52:V62" si="24">IF(T$12=0,0,T52/T$12)</f>
        <v>6.7271090097042907E-2</v>
      </c>
      <c r="W52" s="4"/>
      <c r="X52" s="20">
        <f t="shared" ref="X52:X62" si="25">+P52-T52</f>
        <v>5412.710000000021</v>
      </c>
      <c r="Y52" s="4"/>
      <c r="Z52" s="30">
        <f t="shared" ref="Z52:Z62" si="26">IF(T52=0,0,X52/T52)</f>
        <v>5.7286635538519738E-2</v>
      </c>
    </row>
    <row r="53" spans="1:26" s="29" customFormat="1" outlineLevel="1" collapsed="1" x14ac:dyDescent="0.3">
      <c r="A53" s="28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3506.3399999999997</v>
      </c>
      <c r="E53" s="1"/>
      <c r="F53" s="5">
        <f t="shared" si="19"/>
        <v>2.2508671032300594E-2</v>
      </c>
      <c r="G53" s="1"/>
      <c r="H53" s="1">
        <f>SUM(OSRRefH22_0x_0)</f>
        <v>2747.9300000000003</v>
      </c>
      <c r="I53" s="1"/>
      <c r="J53" s="5">
        <f t="shared" si="20"/>
        <v>2.1270156366723247E-2</v>
      </c>
      <c r="K53" s="1"/>
      <c r="L53" s="1">
        <f t="shared" si="21"/>
        <v>758.4099999999994</v>
      </c>
      <c r="M53" s="1"/>
      <c r="N53" s="5">
        <f t="shared" si="22"/>
        <v>0.27599320215580431</v>
      </c>
      <c r="O53" s="14"/>
      <c r="P53" s="1">
        <f>SUM(OSRRefP22_0x_0)</f>
        <v>14809.55</v>
      </c>
      <c r="Q53" s="1"/>
      <c r="R53" s="5">
        <f t="shared" si="23"/>
        <v>1.3194219918603175E-2</v>
      </c>
      <c r="S53" s="1"/>
      <c r="T53" s="1">
        <f>SUM(OSRRefT22_0x_0)</f>
        <v>20566.809999999998</v>
      </c>
      <c r="U53" s="1"/>
      <c r="V53" s="5">
        <f t="shared" si="24"/>
        <v>1.4643131374180969E-2</v>
      </c>
      <c r="W53" s="1"/>
      <c r="X53" s="1">
        <f t="shared" si="25"/>
        <v>-5757.2599999999984</v>
      </c>
      <c r="Y53" s="1"/>
      <c r="Z53" s="5">
        <f t="shared" si="26"/>
        <v>-0.27992965365071193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7">
        <v>460.4</v>
      </c>
      <c r="E54" s="2"/>
      <c r="F54" s="6">
        <f t="shared" si="19"/>
        <v>2.9555012187269898E-3</v>
      </c>
      <c r="G54" s="2"/>
      <c r="H54" s="7">
        <v>449.24</v>
      </c>
      <c r="I54" s="2"/>
      <c r="J54" s="6">
        <f t="shared" si="20"/>
        <v>3.4773102102989345E-3</v>
      </c>
      <c r="K54" s="2"/>
      <c r="L54" s="7">
        <f t="shared" si="21"/>
        <v>11.159999999999968</v>
      </c>
      <c r="M54" s="2"/>
      <c r="N54" s="6">
        <f t="shared" si="22"/>
        <v>2.4841955302288238E-2</v>
      </c>
      <c r="O54" s="11"/>
      <c r="P54" s="7">
        <v>3764.31</v>
      </c>
      <c r="Q54" s="2"/>
      <c r="R54" s="6">
        <f t="shared" si="23"/>
        <v>3.353723373215062E-3</v>
      </c>
      <c r="S54" s="2"/>
      <c r="T54" s="7">
        <v>3839.6</v>
      </c>
      <c r="U54" s="2"/>
      <c r="V54" s="6">
        <f t="shared" si="24"/>
        <v>2.7337135522866821E-3</v>
      </c>
      <c r="W54" s="2"/>
      <c r="X54" s="7">
        <f t="shared" si="25"/>
        <v>-75.289999999999964</v>
      </c>
      <c r="Y54" s="2"/>
      <c r="Z54" s="6">
        <f t="shared" si="26"/>
        <v>-1.9608813418064374E-2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122.11</v>
      </c>
      <c r="E55" s="2"/>
      <c r="F55" s="6">
        <f t="shared" si="19"/>
        <v>7.8387544269928919E-4</v>
      </c>
      <c r="G55" s="2"/>
      <c r="H55" s="7">
        <v>46.19</v>
      </c>
      <c r="I55" s="2"/>
      <c r="J55" s="6">
        <f t="shared" si="20"/>
        <v>3.5753040382358595E-4</v>
      </c>
      <c r="K55" s="2"/>
      <c r="L55" s="7">
        <f t="shared" si="21"/>
        <v>75.92</v>
      </c>
      <c r="M55" s="2"/>
      <c r="N55" s="6">
        <f t="shared" si="22"/>
        <v>1.6436458107815546</v>
      </c>
      <c r="O55" s="11"/>
      <c r="P55" s="7">
        <v>999.03</v>
      </c>
      <c r="Q55" s="2"/>
      <c r="R55" s="6">
        <f t="shared" si="23"/>
        <v>8.9006225883177617E-4</v>
      </c>
      <c r="S55" s="2"/>
      <c r="T55" s="7">
        <v>1028.72</v>
      </c>
      <c r="U55" s="2"/>
      <c r="V55" s="6">
        <f t="shared" si="24"/>
        <v>7.3242676463911754E-4</v>
      </c>
      <c r="W55" s="2"/>
      <c r="X55" s="7">
        <f t="shared" si="25"/>
        <v>-29.690000000000055</v>
      </c>
      <c r="Y55" s="2"/>
      <c r="Z55" s="6">
        <f t="shared" si="26"/>
        <v>-2.8861108950929363E-2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7">
        <v>1539.12</v>
      </c>
      <c r="E56" s="2"/>
      <c r="F56" s="6">
        <f t="shared" si="19"/>
        <v>9.8802585485818512E-3</v>
      </c>
      <c r="G56" s="2"/>
      <c r="H56" s="7">
        <v>1053.8499999999999</v>
      </c>
      <c r="I56" s="2"/>
      <c r="J56" s="6">
        <f t="shared" si="20"/>
        <v>8.1572508350181011E-3</v>
      </c>
      <c r="K56" s="2"/>
      <c r="L56" s="7">
        <f t="shared" si="21"/>
        <v>485.27</v>
      </c>
      <c r="M56" s="2"/>
      <c r="N56" s="6">
        <f t="shared" si="22"/>
        <v>0.46047350192152586</v>
      </c>
      <c r="O56" s="11"/>
      <c r="P56" s="7">
        <v>5289.53</v>
      </c>
      <c r="Q56" s="2"/>
      <c r="R56" s="6">
        <f t="shared" si="23"/>
        <v>4.7125822247164198E-3</v>
      </c>
      <c r="S56" s="2"/>
      <c r="T56" s="7">
        <v>7268.63</v>
      </c>
      <c r="U56" s="2"/>
      <c r="V56" s="6">
        <f t="shared" si="24"/>
        <v>5.1751099951967781E-3</v>
      </c>
      <c r="W56" s="2"/>
      <c r="X56" s="7">
        <f t="shared" si="25"/>
        <v>-1979.1000000000004</v>
      </c>
      <c r="Y56" s="2"/>
      <c r="Z56" s="6">
        <f t="shared" si="26"/>
        <v>-0.27227964554530915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21.45</v>
      </c>
      <c r="E57" s="2"/>
      <c r="F57" s="6">
        <f t="shared" si="19"/>
        <v>1.3769657068135087E-4</v>
      </c>
      <c r="G57" s="2"/>
      <c r="H57" s="7">
        <v>42.59</v>
      </c>
      <c r="I57" s="2"/>
      <c r="J57" s="6">
        <f t="shared" si="20"/>
        <v>3.2966486033441284E-4</v>
      </c>
      <c r="K57" s="2"/>
      <c r="L57" s="7">
        <f t="shared" si="21"/>
        <v>-21.140000000000004</v>
      </c>
      <c r="M57" s="2"/>
      <c r="N57" s="6">
        <f t="shared" si="22"/>
        <v>-0.49636064803944596</v>
      </c>
      <c r="O57" s="11"/>
      <c r="P57" s="7">
        <v>175.51</v>
      </c>
      <c r="Q57" s="2"/>
      <c r="R57" s="6">
        <f t="shared" si="23"/>
        <v>1.5636650255504341E-4</v>
      </c>
      <c r="S57" s="2"/>
      <c r="T57" s="7">
        <v>159.28</v>
      </c>
      <c r="U57" s="2"/>
      <c r="V57" s="6">
        <f t="shared" si="24"/>
        <v>1.1340397296807552E-4</v>
      </c>
      <c r="W57" s="2"/>
      <c r="X57" s="7">
        <f t="shared" si="25"/>
        <v>16.22999999999999</v>
      </c>
      <c r="Y57" s="2"/>
      <c r="Z57" s="6">
        <f t="shared" si="26"/>
        <v>0.10189603214465086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7">
        <v>103.22</v>
      </c>
      <c r="E58" s="2"/>
      <c r="F58" s="6">
        <f t="shared" si="19"/>
        <v>6.6261258861207621E-4</v>
      </c>
      <c r="G58" s="2"/>
      <c r="H58" s="7">
        <v>264.63</v>
      </c>
      <c r="I58" s="2"/>
      <c r="J58" s="6">
        <f t="shared" si="20"/>
        <v>2.0483496593166391E-3</v>
      </c>
      <c r="K58" s="2"/>
      <c r="L58" s="7">
        <f t="shared" si="21"/>
        <v>-161.41</v>
      </c>
      <c r="M58" s="2"/>
      <c r="N58" s="6">
        <f t="shared" si="22"/>
        <v>-0.60994596228696674</v>
      </c>
      <c r="O58" s="11"/>
      <c r="P58" s="7">
        <v>790.94</v>
      </c>
      <c r="Q58" s="2"/>
      <c r="R58" s="6">
        <f t="shared" si="23"/>
        <v>7.046693722915279E-4</v>
      </c>
      <c r="S58" s="2"/>
      <c r="T58" s="7">
        <v>1411.36</v>
      </c>
      <c r="U58" s="2"/>
      <c r="V58" s="6">
        <f t="shared" si="24"/>
        <v>1.0048583079371111E-3</v>
      </c>
      <c r="W58" s="2"/>
      <c r="X58" s="7">
        <f t="shared" si="25"/>
        <v>-620.41999999999985</v>
      </c>
      <c r="Y58" s="2"/>
      <c r="Z58" s="6">
        <f t="shared" si="26"/>
        <v>-0.43959018251898868</v>
      </c>
    </row>
    <row r="59" spans="1:26" s="24" customFormat="1" hidden="1" outlineLevel="2" x14ac:dyDescent="0.3">
      <c r="A59" s="27"/>
      <c r="B59" s="11" t="str">
        <f>CONCATENATE("          ", "6117", " - ", "RETIREMENT STAFF HOURLY")</f>
        <v xml:space="preserve">          6117 - RETIREMENT STAFF HOURLY</v>
      </c>
      <c r="C59" s="11"/>
      <c r="D59" s="7">
        <v>180</v>
      </c>
      <c r="E59" s="2"/>
      <c r="F59" s="6">
        <f t="shared" si="19"/>
        <v>1.1554956980253219E-3</v>
      </c>
      <c r="G59" s="2"/>
      <c r="H59" s="7">
        <v>176</v>
      </c>
      <c r="I59" s="2"/>
      <c r="J59" s="6">
        <f t="shared" si="20"/>
        <v>1.3623154594706892E-3</v>
      </c>
      <c r="K59" s="2"/>
      <c r="L59" s="7">
        <f t="shared" si="21"/>
        <v>4</v>
      </c>
      <c r="M59" s="2"/>
      <c r="N59" s="6">
        <f t="shared" si="22"/>
        <v>2.2727272727272728E-2</v>
      </c>
      <c r="O59" s="11"/>
      <c r="P59" s="7">
        <v>-237.34</v>
      </c>
      <c r="Q59" s="2"/>
      <c r="R59" s="6">
        <f t="shared" si="23"/>
        <v>-2.114524854219931E-4</v>
      </c>
      <c r="S59" s="2"/>
      <c r="T59" s="7">
        <v>1281.04</v>
      </c>
      <c r="U59" s="2"/>
      <c r="V59" s="6">
        <f t="shared" si="24"/>
        <v>9.1207323914504926E-4</v>
      </c>
      <c r="W59" s="2"/>
      <c r="X59" s="7">
        <f t="shared" si="25"/>
        <v>-1518.3799999999999</v>
      </c>
      <c r="Y59" s="2"/>
      <c r="Z59" s="6">
        <f t="shared" si="26"/>
        <v>-1.1852713420345968</v>
      </c>
    </row>
    <row r="60" spans="1:26" s="24" customFormat="1" hidden="1" outlineLevel="2" x14ac:dyDescent="0.3">
      <c r="A60" s="27"/>
      <c r="B60" s="11" t="str">
        <f>CONCATENATE("          ", "6118", " - ", "VACATION")</f>
        <v xml:space="preserve">          6118 - VACATION</v>
      </c>
      <c r="C60" s="11"/>
      <c r="D60" s="7">
        <v>359.95</v>
      </c>
      <c r="E60" s="2"/>
      <c r="F60" s="6">
        <f t="shared" si="19"/>
        <v>2.3106704250234144E-3</v>
      </c>
      <c r="G60" s="2"/>
      <c r="H60" s="7">
        <v>267.04000000000002</v>
      </c>
      <c r="I60" s="2"/>
      <c r="J60" s="6">
        <f t="shared" si="20"/>
        <v>2.0670040925968914E-3</v>
      </c>
      <c r="K60" s="2"/>
      <c r="L60" s="7">
        <f t="shared" si="21"/>
        <v>92.909999999999968</v>
      </c>
      <c r="M60" s="2"/>
      <c r="N60" s="6">
        <f t="shared" si="22"/>
        <v>0.34792540443379255</v>
      </c>
      <c r="O60" s="11"/>
      <c r="P60" s="7">
        <v>1375.42</v>
      </c>
      <c r="Q60" s="2"/>
      <c r="R60" s="6">
        <f t="shared" si="23"/>
        <v>1.225398068168525E-3</v>
      </c>
      <c r="S60" s="2"/>
      <c r="T60" s="7">
        <v>1956.58</v>
      </c>
      <c r="U60" s="2"/>
      <c r="V60" s="6">
        <f t="shared" si="24"/>
        <v>1.3930433540298669E-3</v>
      </c>
      <c r="W60" s="2"/>
      <c r="X60" s="7">
        <f t="shared" si="25"/>
        <v>-581.15999999999985</v>
      </c>
      <c r="Y60" s="2"/>
      <c r="Z60" s="6">
        <f t="shared" si="26"/>
        <v>-0.29702848848500951</v>
      </c>
    </row>
    <row r="61" spans="1:26" s="24" customFormat="1" hidden="1" outlineLevel="2" x14ac:dyDescent="0.3">
      <c r="A61" s="27"/>
      <c r="B61" s="11" t="str">
        <f>CONCATENATE("          ", "6119", " - ", "SICK LEAVE")</f>
        <v xml:space="preserve">          6119 - SICK LEAVE</v>
      </c>
      <c r="C61" s="11"/>
      <c r="D61" s="7">
        <v>494.25</v>
      </c>
      <c r="E61" s="2"/>
      <c r="F61" s="6">
        <f t="shared" si="19"/>
        <v>3.1727986041611964E-3</v>
      </c>
      <c r="G61" s="2"/>
      <c r="H61" s="7">
        <v>267.63</v>
      </c>
      <c r="I61" s="2"/>
      <c r="J61" s="6">
        <f t="shared" si="20"/>
        <v>2.0715709455576166E-3</v>
      </c>
      <c r="K61" s="2"/>
      <c r="L61" s="7">
        <f t="shared" si="21"/>
        <v>226.62</v>
      </c>
      <c r="M61" s="2"/>
      <c r="N61" s="6">
        <f t="shared" si="22"/>
        <v>0.84676605761685908</v>
      </c>
      <c r="O61" s="11"/>
      <c r="P61" s="7">
        <v>1541.16</v>
      </c>
      <c r="Q61" s="2"/>
      <c r="R61" s="6">
        <f t="shared" si="23"/>
        <v>1.373060219233837E-3</v>
      </c>
      <c r="S61" s="2"/>
      <c r="T61" s="7">
        <v>1951.92</v>
      </c>
      <c r="U61" s="2"/>
      <c r="V61" s="6">
        <f t="shared" si="24"/>
        <v>1.3897255331230911E-3</v>
      </c>
      <c r="W61" s="2"/>
      <c r="X61" s="7">
        <f t="shared" si="25"/>
        <v>-410.76</v>
      </c>
      <c r="Y61" s="2"/>
      <c r="Z61" s="6">
        <f t="shared" si="26"/>
        <v>-0.21043895241608263</v>
      </c>
    </row>
    <row r="62" spans="1:26" s="24" customFormat="1" hidden="1" outlineLevel="2" x14ac:dyDescent="0.3">
      <c r="A62" s="27"/>
      <c r="B62" s="11" t="str">
        <f>CONCATENATE("          ", "6156", " - ", "EMPLOYEE MEALS")</f>
        <v xml:space="preserve">          6156 - EMPLOYEE MEALS</v>
      </c>
      <c r="C62" s="11"/>
      <c r="D62" s="7">
        <v>225.84</v>
      </c>
      <c r="E62" s="2"/>
      <c r="F62" s="6">
        <f t="shared" si="19"/>
        <v>1.4497619357891039E-3</v>
      </c>
      <c r="G62" s="2"/>
      <c r="H62" s="7">
        <v>180.76</v>
      </c>
      <c r="I62" s="2"/>
      <c r="J62" s="6">
        <f t="shared" si="20"/>
        <v>1.3991599003063738E-3</v>
      </c>
      <c r="K62" s="2"/>
      <c r="L62" s="7">
        <f t="shared" si="21"/>
        <v>45.080000000000013</v>
      </c>
      <c r="M62" s="2"/>
      <c r="N62" s="6">
        <f t="shared" si="22"/>
        <v>0.24939145828723178</v>
      </c>
      <c r="O62" s="11"/>
      <c r="P62" s="7">
        <v>1110.99</v>
      </c>
      <c r="Q62" s="2"/>
      <c r="R62" s="6">
        <f t="shared" si="23"/>
        <v>9.898103850129777E-4</v>
      </c>
      <c r="S62" s="2"/>
      <c r="T62" s="7">
        <v>1669.68</v>
      </c>
      <c r="U62" s="2"/>
      <c r="V62" s="6">
        <f t="shared" si="24"/>
        <v>1.1887766548552006E-3</v>
      </c>
      <c r="W62" s="2"/>
      <c r="X62" s="7">
        <f t="shared" si="25"/>
        <v>-558.69000000000005</v>
      </c>
      <c r="Y62" s="2"/>
      <c r="Z62" s="6">
        <f t="shared" si="26"/>
        <v>-0.33460902687940208</v>
      </c>
    </row>
    <row r="63" spans="1:26" s="29" customFormat="1" outlineLevel="1" collapsed="1" x14ac:dyDescent="0.3">
      <c r="A63" s="28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10489.11</v>
      </c>
      <c r="E63" s="1"/>
      <c r="F63" s="5">
        <f t="shared" ref="F63:F68" si="27">IF(D$12=0,0,D63/D$12)</f>
        <v>6.7334008228413247E-2</v>
      </c>
      <c r="G63" s="1"/>
      <c r="H63" s="1">
        <f>SUM(OSRRefH22_1x_0)</f>
        <v>9963.16</v>
      </c>
      <c r="I63" s="1"/>
      <c r="J63" s="5">
        <f t="shared" ref="J63:J68" si="28">IF(H$12=0,0,H63/H$12)</f>
        <v>7.7119130074886313E-2</v>
      </c>
      <c r="K63" s="1"/>
      <c r="L63" s="1">
        <f t="shared" ref="L63:L68" si="29">+D63-H63</f>
        <v>525.95000000000073</v>
      </c>
      <c r="M63" s="1"/>
      <c r="N63" s="5">
        <f t="shared" ref="N63:N68" si="30">IF(H63=0,0,L63/H63)</f>
        <v>5.2789476431172516E-2</v>
      </c>
      <c r="O63" s="14"/>
      <c r="P63" s="1">
        <f>SUM(OSRRefP22_1x_0)</f>
        <v>71461.740000000005</v>
      </c>
      <c r="Q63" s="1"/>
      <c r="R63" s="5">
        <f t="shared" ref="R63:R68" si="31">IF(P$12=0,0,P63/P$12)</f>
        <v>6.3667154864667827E-2</v>
      </c>
      <c r="S63" s="1"/>
      <c r="T63" s="1">
        <f>SUM(OSRRefT22_1x_0)</f>
        <v>57391.3</v>
      </c>
      <c r="U63" s="1"/>
      <c r="V63" s="5">
        <f t="shared" ref="V63:V68" si="32">IF(T$12=0,0,T63/T$12)</f>
        <v>4.0861385194642844E-2</v>
      </c>
      <c r="W63" s="1"/>
      <c r="X63" s="1">
        <f t="shared" ref="X63:X68" si="33">+P63-T63</f>
        <v>14070.440000000002</v>
      </c>
      <c r="Y63" s="1"/>
      <c r="Z63" s="5">
        <f t="shared" ref="Z63:Z68" si="34">IF(T63=0,0,X63/T63)</f>
        <v>0.24516677614899823</v>
      </c>
    </row>
    <row r="64" spans="1:26" s="24" customFormat="1" hidden="1" outlineLevel="2" x14ac:dyDescent="0.3">
      <c r="A64" s="27"/>
      <c r="B64" s="11" t="str">
        <f>CONCATENATE("          ", "6002", " - ", "STAFF SALARIES")</f>
        <v xml:space="preserve">          6002 - STAFF SALARIES</v>
      </c>
      <c r="C64" s="11"/>
      <c r="D64" s="7">
        <v>1700</v>
      </c>
      <c r="E64" s="2"/>
      <c r="F64" s="6">
        <f t="shared" si="27"/>
        <v>1.0913014925794707E-2</v>
      </c>
      <c r="G64" s="2"/>
      <c r="H64" s="7">
        <v>2928.3</v>
      </c>
      <c r="I64" s="2"/>
      <c r="J64" s="6">
        <f t="shared" si="28"/>
        <v>2.2666297499818293E-2</v>
      </c>
      <c r="K64" s="2"/>
      <c r="L64" s="7">
        <f t="shared" si="29"/>
        <v>-1228.3000000000002</v>
      </c>
      <c r="M64" s="2"/>
      <c r="N64" s="6">
        <f t="shared" si="30"/>
        <v>-0.4194583888262815</v>
      </c>
      <c r="O64" s="11"/>
      <c r="P64" s="7">
        <v>13252.94</v>
      </c>
      <c r="Q64" s="2"/>
      <c r="R64" s="6">
        <f t="shared" si="31"/>
        <v>1.1807394885601032E-2</v>
      </c>
      <c r="S64" s="2"/>
      <c r="T64" s="7">
        <v>16165.65</v>
      </c>
      <c r="U64" s="2"/>
      <c r="V64" s="6">
        <f t="shared" si="32"/>
        <v>1.1509599043265758E-2</v>
      </c>
      <c r="W64" s="2"/>
      <c r="X64" s="7">
        <f t="shared" si="33"/>
        <v>-2912.7099999999991</v>
      </c>
      <c r="Y64" s="2"/>
      <c r="Z64" s="6">
        <f t="shared" si="34"/>
        <v>-0.18017895970777539</v>
      </c>
    </row>
    <row r="65" spans="1:26" s="24" customFormat="1" hidden="1" outlineLevel="2" x14ac:dyDescent="0.3">
      <c r="A65" s="27"/>
      <c r="B65" s="11" t="str">
        <f>CONCATENATE("          ", "6004", " - ", "STAFF HOURLY")</f>
        <v xml:space="preserve">          6004 - STAFF HOURLY</v>
      </c>
      <c r="C65" s="11"/>
      <c r="D65" s="7">
        <v>3151.23</v>
      </c>
      <c r="E65" s="2"/>
      <c r="F65" s="6">
        <f t="shared" si="27"/>
        <v>2.0229070602712975E-2</v>
      </c>
      <c r="G65" s="2"/>
      <c r="H65" s="7">
        <v>3344</v>
      </c>
      <c r="I65" s="2"/>
      <c r="J65" s="6">
        <f t="shared" si="28"/>
        <v>2.5883993729943097E-2</v>
      </c>
      <c r="K65" s="2"/>
      <c r="L65" s="7">
        <f t="shared" si="29"/>
        <v>-192.76999999999998</v>
      </c>
      <c r="M65" s="2"/>
      <c r="N65" s="6">
        <f t="shared" si="30"/>
        <v>-5.7646531100478467E-2</v>
      </c>
      <c r="O65" s="11"/>
      <c r="P65" s="7">
        <v>20893.46</v>
      </c>
      <c r="Q65" s="2"/>
      <c r="R65" s="6">
        <f t="shared" si="31"/>
        <v>1.8614536302624909E-2</v>
      </c>
      <c r="S65" s="2"/>
      <c r="T65" s="7">
        <v>24680.16</v>
      </c>
      <c r="U65" s="2"/>
      <c r="V65" s="6">
        <f t="shared" si="32"/>
        <v>1.7571749105272341E-2</v>
      </c>
      <c r="W65" s="2"/>
      <c r="X65" s="7">
        <f t="shared" si="33"/>
        <v>-3786.7000000000007</v>
      </c>
      <c r="Y65" s="2"/>
      <c r="Z65" s="6">
        <f t="shared" si="34"/>
        <v>-0.15343093399718644</v>
      </c>
    </row>
    <row r="66" spans="1:26" s="24" customFormat="1" hidden="1" outlineLevel="2" x14ac:dyDescent="0.3">
      <c r="A66" s="27"/>
      <c r="B66" s="11" t="str">
        <f>CONCATENATE("          ", "6005", " - ", "TEMPORARY WAGES-HOURLY")</f>
        <v xml:space="preserve">          6005 - TEMPORARY WAGES-HOURLY</v>
      </c>
      <c r="C66" s="11"/>
      <c r="D66" s="7">
        <v>1354.67</v>
      </c>
      <c r="E66" s="2"/>
      <c r="F66" s="6">
        <f t="shared" si="27"/>
        <v>8.6961964291331281E-3</v>
      </c>
      <c r="G66" s="2"/>
      <c r="H66" s="7"/>
      <c r="I66" s="2"/>
      <c r="J66" s="6">
        <f t="shared" si="28"/>
        <v>0</v>
      </c>
      <c r="K66" s="2"/>
      <c r="L66" s="7">
        <f t="shared" si="29"/>
        <v>1354.67</v>
      </c>
      <c r="M66" s="2"/>
      <c r="N66" s="6">
        <f t="shared" si="30"/>
        <v>0</v>
      </c>
      <c r="O66" s="11"/>
      <c r="P66" s="7">
        <v>8233.81</v>
      </c>
      <c r="Q66" s="2"/>
      <c r="R66" s="6">
        <f t="shared" si="31"/>
        <v>7.3357191749914086E-3</v>
      </c>
      <c r="S66" s="2"/>
      <c r="T66" s="7"/>
      <c r="U66" s="2"/>
      <c r="V66" s="6">
        <f t="shared" si="32"/>
        <v>0</v>
      </c>
      <c r="W66" s="2"/>
      <c r="X66" s="7">
        <f t="shared" si="33"/>
        <v>8233.81</v>
      </c>
      <c r="Y66" s="2"/>
      <c r="Z66" s="6">
        <f t="shared" si="34"/>
        <v>0</v>
      </c>
    </row>
    <row r="67" spans="1:26" s="24" customFormat="1" hidden="1" outlineLevel="2" x14ac:dyDescent="0.3">
      <c r="A67" s="27"/>
      <c r="B67" s="11" t="str">
        <f>CONCATENATE("          ", "6007", " - ", "STUDENT HOURLY")</f>
        <v xml:space="preserve">          6007 - STUDENT HOURLY</v>
      </c>
      <c r="C67" s="11"/>
      <c r="D67" s="7">
        <v>4283.21</v>
      </c>
      <c r="E67" s="2"/>
      <c r="F67" s="6">
        <f t="shared" si="27"/>
        <v>2.7495726270772441E-2</v>
      </c>
      <c r="G67" s="2"/>
      <c r="H67" s="7">
        <v>3690.86</v>
      </c>
      <c r="I67" s="2"/>
      <c r="J67" s="6">
        <f t="shared" si="28"/>
        <v>2.8568838845124934E-2</v>
      </c>
      <c r="K67" s="2"/>
      <c r="L67" s="7">
        <f t="shared" si="29"/>
        <v>592.34999999999991</v>
      </c>
      <c r="M67" s="2"/>
      <c r="N67" s="6">
        <f t="shared" si="30"/>
        <v>0.16049105086619375</v>
      </c>
      <c r="O67" s="11"/>
      <c r="P67" s="7">
        <v>22935.9</v>
      </c>
      <c r="Q67" s="2"/>
      <c r="R67" s="6">
        <f t="shared" si="31"/>
        <v>2.0434200136472114E-2</v>
      </c>
      <c r="S67" s="2"/>
      <c r="T67" s="7">
        <v>16545.490000000002</v>
      </c>
      <c r="U67" s="2"/>
      <c r="V67" s="6">
        <f t="shared" si="32"/>
        <v>1.1780037046104745E-2</v>
      </c>
      <c r="W67" s="2"/>
      <c r="X67" s="7">
        <f t="shared" si="33"/>
        <v>6390.41</v>
      </c>
      <c r="Y67" s="2"/>
      <c r="Z67" s="6">
        <f t="shared" si="34"/>
        <v>0.38623274378697753</v>
      </c>
    </row>
    <row r="68" spans="1:26" s="24" customFormat="1" hidden="1" outlineLevel="2" x14ac:dyDescent="0.3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7"/>
        <v>0</v>
      </c>
      <c r="G68" s="2"/>
      <c r="H68" s="7"/>
      <c r="I68" s="2"/>
      <c r="J68" s="6">
        <f t="shared" si="28"/>
        <v>0</v>
      </c>
      <c r="K68" s="2"/>
      <c r="L68" s="7">
        <f t="shared" si="29"/>
        <v>0</v>
      </c>
      <c r="M68" s="2"/>
      <c r="N68" s="6">
        <f t="shared" si="30"/>
        <v>0</v>
      </c>
      <c r="O68" s="11"/>
      <c r="P68" s="7">
        <v>6145.63</v>
      </c>
      <c r="Q68" s="2"/>
      <c r="R68" s="6">
        <f t="shared" si="31"/>
        <v>5.4753043649783577E-3</v>
      </c>
      <c r="S68" s="2"/>
      <c r="T68" s="7"/>
      <c r="U68" s="2"/>
      <c r="V68" s="6">
        <f t="shared" si="32"/>
        <v>0</v>
      </c>
      <c r="W68" s="2"/>
      <c r="X68" s="7">
        <f t="shared" si="33"/>
        <v>6145.63</v>
      </c>
      <c r="Y68" s="2"/>
      <c r="Z68" s="6">
        <f t="shared" si="34"/>
        <v>0</v>
      </c>
    </row>
    <row r="69" spans="1:26" s="29" customFormat="1" outlineLevel="1" collapsed="1" x14ac:dyDescent="0.3">
      <c r="A69" s="28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28.67</v>
      </c>
      <c r="E69" s="1"/>
      <c r="F69" s="5">
        <f t="shared" ref="F69:F77" si="35">IF(D$12=0,0,D69/D$12)</f>
        <v>1.8404478701325544E-4</v>
      </c>
      <c r="G69" s="1"/>
      <c r="H69" s="1">
        <f>SUM(OSRRefH22_2x_0)</f>
        <v>350.05</v>
      </c>
      <c r="I69" s="1"/>
      <c r="J69" s="5">
        <f t="shared" ref="J69:J77" si="36">IF(H$12=0,0,H69/H$12)</f>
        <v>2.709537082884743E-3</v>
      </c>
      <c r="K69" s="1"/>
      <c r="L69" s="1">
        <f t="shared" ref="L69:L77" si="37">+D69-H69</f>
        <v>-321.38</v>
      </c>
      <c r="M69" s="1"/>
      <c r="N69" s="5">
        <f t="shared" ref="N69:N77" si="38">IF(H69=0,0,L69/H69)</f>
        <v>-0.91809741465504924</v>
      </c>
      <c r="O69" s="14"/>
      <c r="P69" s="1">
        <f>SUM(OSRRefP22_2x_0)</f>
        <v>146.80000000000001</v>
      </c>
      <c r="Q69" s="1"/>
      <c r="R69" s="5">
        <f t="shared" ref="R69:R77" si="39">IF(P$12=0,0,P69/P$12)</f>
        <v>1.307880039603463E-4</v>
      </c>
      <c r="S69" s="1"/>
      <c r="T69" s="1">
        <f>SUM(OSRRefT22_2x_0)</f>
        <v>598.92999999999995</v>
      </c>
      <c r="U69" s="1"/>
      <c r="V69" s="5">
        <f t="shared" ref="V69:V77" si="40">IF(T$12=0,0,T69/T$12)</f>
        <v>4.264254239689193E-4</v>
      </c>
      <c r="W69" s="1"/>
      <c r="X69" s="1">
        <f t="shared" ref="X69:X77" si="41">+P69-T69</f>
        <v>-452.12999999999994</v>
      </c>
      <c r="Y69" s="1"/>
      <c r="Z69" s="5">
        <f t="shared" ref="Z69:Z77" si="42">IF(T69=0,0,X69/T69)</f>
        <v>-0.7548962316130432</v>
      </c>
    </row>
    <row r="70" spans="1:26" s="24" customFormat="1" hidden="1" outlineLevel="2" x14ac:dyDescent="0.3">
      <c r="A70" s="27"/>
      <c r="B70" s="11" t="str">
        <f>CONCATENATE("          ", "6362", " - ", "ADVERTISING EXPENSE")</f>
        <v xml:space="preserve">          6362 - ADVERTISING EXPENSE</v>
      </c>
      <c r="C70" s="11"/>
      <c r="D70" s="7">
        <v>28.67</v>
      </c>
      <c r="E70" s="2"/>
      <c r="F70" s="6">
        <f t="shared" si="35"/>
        <v>1.8404478701325544E-4</v>
      </c>
      <c r="G70" s="2"/>
      <c r="H70" s="7">
        <v>350.05</v>
      </c>
      <c r="I70" s="2"/>
      <c r="J70" s="6">
        <f t="shared" si="36"/>
        <v>2.709537082884743E-3</v>
      </c>
      <c r="K70" s="2"/>
      <c r="L70" s="7">
        <f t="shared" si="37"/>
        <v>-321.38</v>
      </c>
      <c r="M70" s="2"/>
      <c r="N70" s="6">
        <f t="shared" si="38"/>
        <v>-0.91809741465504924</v>
      </c>
      <c r="O70" s="11"/>
      <c r="P70" s="7">
        <v>146.80000000000001</v>
      </c>
      <c r="Q70" s="2"/>
      <c r="R70" s="6">
        <f t="shared" si="39"/>
        <v>1.307880039603463E-4</v>
      </c>
      <c r="S70" s="2"/>
      <c r="T70" s="7">
        <v>598.92999999999995</v>
      </c>
      <c r="U70" s="2"/>
      <c r="V70" s="6">
        <f t="shared" si="40"/>
        <v>4.264254239689193E-4</v>
      </c>
      <c r="W70" s="2"/>
      <c r="X70" s="7">
        <f t="shared" si="41"/>
        <v>-452.12999999999994</v>
      </c>
      <c r="Y70" s="2"/>
      <c r="Z70" s="6">
        <f t="shared" si="42"/>
        <v>-0.7548962316130432</v>
      </c>
    </row>
    <row r="71" spans="1:26" s="29" customFormat="1" outlineLevel="1" collapsed="1" x14ac:dyDescent="0.3">
      <c r="A71" s="28"/>
      <c r="B71" s="14" t="str">
        <f>CONCATENATE("     ","Depreciation                                      ")</f>
        <v xml:space="preserve">     Depreciation                                      </v>
      </c>
      <c r="C71" s="14"/>
      <c r="D71" s="1">
        <f>SUM(OSRRefD22_3x_0)</f>
        <v>280.44</v>
      </c>
      <c r="E71" s="1"/>
      <c r="F71" s="5">
        <f t="shared" si="35"/>
        <v>1.8002622975234516E-3</v>
      </c>
      <c r="G71" s="1"/>
      <c r="H71" s="1">
        <f>SUM(OSRRefH22_3x_0)</f>
        <v>280.44</v>
      </c>
      <c r="I71" s="1"/>
      <c r="J71" s="5">
        <f t="shared" si="36"/>
        <v>2.1707258378065915E-3</v>
      </c>
      <c r="K71" s="1"/>
      <c r="L71" s="1">
        <f t="shared" si="37"/>
        <v>0</v>
      </c>
      <c r="M71" s="1"/>
      <c r="N71" s="5">
        <f t="shared" si="38"/>
        <v>0</v>
      </c>
      <c r="O71" s="14"/>
      <c r="P71" s="1">
        <f>SUM(OSRRefP22_3x_0)</f>
        <v>1963.08</v>
      </c>
      <c r="Q71" s="1"/>
      <c r="R71" s="5">
        <f t="shared" si="39"/>
        <v>1.748959910180358E-3</v>
      </c>
      <c r="S71" s="1"/>
      <c r="T71" s="1">
        <f>SUM(OSRRefT22_3x_0)</f>
        <v>1963.08</v>
      </c>
      <c r="U71" s="1"/>
      <c r="V71" s="5">
        <f t="shared" si="40"/>
        <v>1.3976712158097042E-3</v>
      </c>
      <c r="W71" s="1"/>
      <c r="X71" s="1">
        <f t="shared" si="41"/>
        <v>0</v>
      </c>
      <c r="Y71" s="1"/>
      <c r="Z71" s="5">
        <f t="shared" si="42"/>
        <v>0</v>
      </c>
    </row>
    <row r="72" spans="1:26" s="24" customFormat="1" hidden="1" outlineLevel="2" x14ac:dyDescent="0.3">
      <c r="A72" s="27"/>
      <c r="B72" s="11" t="str">
        <f>CONCATENATE("          ", "6322", " - ", "EQUIPMENT DEPRECIATION EXPENSE")</f>
        <v xml:space="preserve">          6322 - EQUIPMENT DEPRECIATION EXPENSE</v>
      </c>
      <c r="C72" s="11"/>
      <c r="D72" s="7">
        <v>280.44</v>
      </c>
      <c r="E72" s="2"/>
      <c r="F72" s="6">
        <f t="shared" si="35"/>
        <v>1.8002622975234516E-3</v>
      </c>
      <c r="G72" s="2"/>
      <c r="H72" s="7">
        <v>280.44</v>
      </c>
      <c r="I72" s="2"/>
      <c r="J72" s="6">
        <f t="shared" si="36"/>
        <v>2.1707258378065915E-3</v>
      </c>
      <c r="K72" s="2"/>
      <c r="L72" s="7">
        <f t="shared" si="37"/>
        <v>0</v>
      </c>
      <c r="M72" s="2"/>
      <c r="N72" s="6">
        <f t="shared" si="38"/>
        <v>0</v>
      </c>
      <c r="O72" s="11"/>
      <c r="P72" s="7">
        <v>1963.08</v>
      </c>
      <c r="Q72" s="2"/>
      <c r="R72" s="6">
        <f t="shared" si="39"/>
        <v>1.748959910180358E-3</v>
      </c>
      <c r="S72" s="2"/>
      <c r="T72" s="7">
        <v>1963.08</v>
      </c>
      <c r="U72" s="2"/>
      <c r="V72" s="6">
        <f t="shared" si="40"/>
        <v>1.3976712158097042E-3</v>
      </c>
      <c r="W72" s="2"/>
      <c r="X72" s="7">
        <f t="shared" si="41"/>
        <v>0</v>
      </c>
      <c r="Y72" s="2"/>
      <c r="Z72" s="6">
        <f t="shared" si="42"/>
        <v>0</v>
      </c>
    </row>
    <row r="73" spans="1:26" s="29" customFormat="1" outlineLevel="1" collapsed="1" x14ac:dyDescent="0.3">
      <c r="A73" s="28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SUM(OSRRefD22_4x_0)</f>
        <v>0</v>
      </c>
      <c r="E73" s="1"/>
      <c r="F73" s="5">
        <f t="shared" si="35"/>
        <v>0</v>
      </c>
      <c r="G73" s="1"/>
      <c r="H73" s="1">
        <f>SUM(OSRRefH22_4x_0)</f>
        <v>0</v>
      </c>
      <c r="I73" s="1"/>
      <c r="J73" s="5">
        <f t="shared" si="36"/>
        <v>0</v>
      </c>
      <c r="K73" s="1"/>
      <c r="L73" s="1">
        <f t="shared" si="37"/>
        <v>0</v>
      </c>
      <c r="M73" s="1"/>
      <c r="N73" s="5">
        <f t="shared" si="38"/>
        <v>0</v>
      </c>
      <c r="O73" s="14"/>
      <c r="P73" s="1">
        <f>SUM(OSRRefP22_4x_0)</f>
        <v>0</v>
      </c>
      <c r="Q73" s="1"/>
      <c r="R73" s="5">
        <f t="shared" si="39"/>
        <v>0</v>
      </c>
      <c r="S73" s="1"/>
      <c r="T73" s="1">
        <f>SUM(OSRRefT22_4x_0)</f>
        <v>0</v>
      </c>
      <c r="U73" s="1"/>
      <c r="V73" s="5">
        <f t="shared" si="40"/>
        <v>0</v>
      </c>
      <c r="W73" s="1"/>
      <c r="X73" s="1">
        <f t="shared" si="41"/>
        <v>0</v>
      </c>
      <c r="Y73" s="1"/>
      <c r="Z73" s="5">
        <f t="shared" si="42"/>
        <v>0</v>
      </c>
    </row>
    <row r="74" spans="1:26" s="24" customFormat="1" hidden="1" outlineLevel="2" x14ac:dyDescent="0.3">
      <c r="A74" s="27"/>
      <c r="B74" s="11" t="str">
        <f>CONCATENATE("          ", "6382", " - ", "DISCOUNTS/MARK DOWNS")</f>
        <v xml:space="preserve">          6382 - DISCOUNTS/MARK DOWNS</v>
      </c>
      <c r="C74" s="11"/>
      <c r="D74" s="7"/>
      <c r="E74" s="2"/>
      <c r="F74" s="6">
        <f t="shared" si="35"/>
        <v>0</v>
      </c>
      <c r="G74" s="2"/>
      <c r="H74" s="7">
        <v>0</v>
      </c>
      <c r="I74" s="2"/>
      <c r="J74" s="6">
        <f t="shared" si="36"/>
        <v>0</v>
      </c>
      <c r="K74" s="2"/>
      <c r="L74" s="7">
        <f t="shared" si="37"/>
        <v>0</v>
      </c>
      <c r="M74" s="2"/>
      <c r="N74" s="6">
        <f t="shared" si="38"/>
        <v>0</v>
      </c>
      <c r="O74" s="11"/>
      <c r="P74" s="7"/>
      <c r="Q74" s="2"/>
      <c r="R74" s="6">
        <f t="shared" si="39"/>
        <v>0</v>
      </c>
      <c r="S74" s="2"/>
      <c r="T74" s="7">
        <v>0</v>
      </c>
      <c r="U74" s="2"/>
      <c r="V74" s="6">
        <f t="shared" si="40"/>
        <v>0</v>
      </c>
      <c r="W74" s="2"/>
      <c r="X74" s="7">
        <f t="shared" si="41"/>
        <v>0</v>
      </c>
      <c r="Y74" s="2"/>
      <c r="Z74" s="6">
        <f t="shared" si="42"/>
        <v>0</v>
      </c>
    </row>
    <row r="75" spans="1:26" s="29" customFormat="1" outlineLevel="1" collapsed="1" x14ac:dyDescent="0.3">
      <c r="A75" s="28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SUM(OSRRefD22_5x_0)</f>
        <v>0</v>
      </c>
      <c r="E75" s="1"/>
      <c r="F75" s="5">
        <f t="shared" si="35"/>
        <v>0</v>
      </c>
      <c r="G75" s="1"/>
      <c r="H75" s="1">
        <f>SUM(OSRRefH22_5x_0)</f>
        <v>122.94</v>
      </c>
      <c r="I75" s="1"/>
      <c r="J75" s="5">
        <f t="shared" si="36"/>
        <v>9.5160831015526437E-4</v>
      </c>
      <c r="K75" s="1"/>
      <c r="L75" s="1">
        <f t="shared" si="37"/>
        <v>-122.94</v>
      </c>
      <c r="M75" s="1"/>
      <c r="N75" s="5">
        <f t="shared" si="38"/>
        <v>-1</v>
      </c>
      <c r="O75" s="14"/>
      <c r="P75" s="1">
        <f>SUM(OSRRefP22_5x_0)</f>
        <v>122.13</v>
      </c>
      <c r="Q75" s="1"/>
      <c r="R75" s="5">
        <f t="shared" si="39"/>
        <v>1.0880884825393113E-4</v>
      </c>
      <c r="S75" s="1"/>
      <c r="T75" s="1">
        <f>SUM(OSRRefT22_5x_0)</f>
        <v>994.11</v>
      </c>
      <c r="U75" s="1"/>
      <c r="V75" s="5">
        <f t="shared" si="40"/>
        <v>7.0778518060832219E-4</v>
      </c>
      <c r="W75" s="1"/>
      <c r="X75" s="1">
        <f t="shared" si="41"/>
        <v>-871.98</v>
      </c>
      <c r="Y75" s="1"/>
      <c r="Z75" s="5">
        <f t="shared" si="42"/>
        <v>-0.87714639225035462</v>
      </c>
    </row>
    <row r="76" spans="1:26" s="24" customFormat="1" hidden="1" outlineLevel="2" x14ac:dyDescent="0.3">
      <c r="A76" s="27"/>
      <c r="B76" s="11" t="str">
        <f>CONCATENATE("          ", "6305", " - ", "FREIGHT OUT")</f>
        <v xml:space="preserve">          6305 - FREIGHT OUT</v>
      </c>
      <c r="C76" s="11"/>
      <c r="D76" s="7"/>
      <c r="E76" s="2"/>
      <c r="F76" s="6">
        <f t="shared" si="35"/>
        <v>0</v>
      </c>
      <c r="G76" s="2"/>
      <c r="H76" s="7">
        <v>122.94</v>
      </c>
      <c r="I76" s="2"/>
      <c r="J76" s="6">
        <f t="shared" si="36"/>
        <v>9.5160831015526437E-4</v>
      </c>
      <c r="K76" s="2"/>
      <c r="L76" s="7">
        <f t="shared" si="37"/>
        <v>-122.94</v>
      </c>
      <c r="M76" s="2"/>
      <c r="N76" s="6">
        <f t="shared" si="38"/>
        <v>-1</v>
      </c>
      <c r="O76" s="11"/>
      <c r="P76" s="7">
        <v>122.13</v>
      </c>
      <c r="Q76" s="2"/>
      <c r="R76" s="6">
        <f t="shared" si="39"/>
        <v>1.0880884825393113E-4</v>
      </c>
      <c r="S76" s="2"/>
      <c r="T76" s="7">
        <v>981.51</v>
      </c>
      <c r="U76" s="2"/>
      <c r="V76" s="6">
        <f t="shared" si="40"/>
        <v>6.9881424854279135E-4</v>
      </c>
      <c r="W76" s="2"/>
      <c r="X76" s="7">
        <f t="shared" si="41"/>
        <v>-859.38</v>
      </c>
      <c r="Y76" s="2"/>
      <c r="Z76" s="6">
        <f t="shared" si="42"/>
        <v>-0.8755692759116056</v>
      </c>
    </row>
    <row r="77" spans="1:26" s="24" customFormat="1" hidden="1" outlineLevel="2" x14ac:dyDescent="0.3">
      <c r="A77" s="27"/>
      <c r="B77" s="11" t="str">
        <f>CONCATENATE("          ", "6307", " - ", "POSTAGE")</f>
        <v xml:space="preserve">          6307 - POSTAGE</v>
      </c>
      <c r="C77" s="11"/>
      <c r="D77" s="7"/>
      <c r="E77" s="2"/>
      <c r="F77" s="6">
        <f t="shared" si="35"/>
        <v>0</v>
      </c>
      <c r="G77" s="2"/>
      <c r="H77" s="7"/>
      <c r="I77" s="2"/>
      <c r="J77" s="6">
        <f t="shared" si="36"/>
        <v>0</v>
      </c>
      <c r="K77" s="2"/>
      <c r="L77" s="7">
        <f t="shared" si="37"/>
        <v>0</v>
      </c>
      <c r="M77" s="2"/>
      <c r="N77" s="6">
        <f t="shared" si="38"/>
        <v>0</v>
      </c>
      <c r="O77" s="11"/>
      <c r="P77" s="7"/>
      <c r="Q77" s="2"/>
      <c r="R77" s="6">
        <f t="shared" si="39"/>
        <v>0</v>
      </c>
      <c r="S77" s="2"/>
      <c r="T77" s="7">
        <v>12.6</v>
      </c>
      <c r="U77" s="2"/>
      <c r="V77" s="6">
        <f t="shared" si="40"/>
        <v>8.9709320655308361E-6</v>
      </c>
      <c r="W77" s="2"/>
      <c r="X77" s="7">
        <f t="shared" si="41"/>
        <v>-12.6</v>
      </c>
      <c r="Y77" s="2"/>
      <c r="Z77" s="6">
        <f t="shared" si="42"/>
        <v>-1</v>
      </c>
    </row>
    <row r="78" spans="1:26" s="29" customFormat="1" outlineLevel="1" collapsed="1" x14ac:dyDescent="0.3">
      <c r="A78" s="28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0</v>
      </c>
      <c r="E78" s="1"/>
      <c r="F78" s="5">
        <f t="shared" ref="F78:F85" si="43">IF(D$12=0,0,D78/D$12)</f>
        <v>0</v>
      </c>
      <c r="G78" s="1"/>
      <c r="H78" s="1">
        <f>SUM(OSRRefH22_6x_0)</f>
        <v>0</v>
      </c>
      <c r="I78" s="1"/>
      <c r="J78" s="5">
        <f t="shared" ref="J78:J85" si="44">IF(H$12=0,0,H78/H$12)</f>
        <v>0</v>
      </c>
      <c r="K78" s="1"/>
      <c r="L78" s="1">
        <f t="shared" ref="L78:L85" si="45">+D78-H78</f>
        <v>0</v>
      </c>
      <c r="M78" s="1"/>
      <c r="N78" s="5">
        <f t="shared" ref="N78:N85" si="46">IF(H78=0,0,L78/H78)</f>
        <v>0</v>
      </c>
      <c r="O78" s="14"/>
      <c r="P78" s="1">
        <f>SUM(OSRRefP22_6x_0)</f>
        <v>0</v>
      </c>
      <c r="Q78" s="1"/>
      <c r="R78" s="5">
        <f t="shared" ref="R78:R85" si="47">IF(P$12=0,0,P78/P$12)</f>
        <v>0</v>
      </c>
      <c r="S78" s="1"/>
      <c r="T78" s="1">
        <f>SUM(OSRRefT22_6x_0)</f>
        <v>-30.15</v>
      </c>
      <c r="U78" s="1"/>
      <c r="V78" s="5">
        <f t="shared" ref="V78:V85" si="48">IF(T$12=0,0,T78/T$12)</f>
        <v>-2.146615887109164E-5</v>
      </c>
      <c r="W78" s="1"/>
      <c r="X78" s="1">
        <f t="shared" ref="X78:X85" si="49">+P78-T78</f>
        <v>30.15</v>
      </c>
      <c r="Y78" s="1"/>
      <c r="Z78" s="5">
        <f t="shared" ref="Z78:Z85" si="50">IF(T78=0,0,X78/T78)</f>
        <v>-1</v>
      </c>
    </row>
    <row r="79" spans="1:26" s="24" customFormat="1" hidden="1" outlineLevel="2" x14ac:dyDescent="0.3">
      <c r="A79" s="27"/>
      <c r="B79" s="11" t="str">
        <f>CONCATENATE("          ", "6279", " - ", "GENERAL EXPENSE")</f>
        <v xml:space="preserve">          6279 - GENERAL EXPENSE</v>
      </c>
      <c r="C79" s="11"/>
      <c r="D79" s="7"/>
      <c r="E79" s="2"/>
      <c r="F79" s="6">
        <f t="shared" si="43"/>
        <v>0</v>
      </c>
      <c r="G79" s="2"/>
      <c r="H79" s="7"/>
      <c r="I79" s="2"/>
      <c r="J79" s="6">
        <f t="shared" si="44"/>
        <v>0</v>
      </c>
      <c r="K79" s="2"/>
      <c r="L79" s="7">
        <f t="shared" si="45"/>
        <v>0</v>
      </c>
      <c r="M79" s="2"/>
      <c r="N79" s="6">
        <f t="shared" si="46"/>
        <v>0</v>
      </c>
      <c r="O79" s="11"/>
      <c r="P79" s="7"/>
      <c r="Q79" s="2"/>
      <c r="R79" s="6">
        <f t="shared" si="47"/>
        <v>0</v>
      </c>
      <c r="S79" s="2"/>
      <c r="T79" s="7">
        <v>-30.15</v>
      </c>
      <c r="U79" s="2"/>
      <c r="V79" s="6">
        <f t="shared" si="48"/>
        <v>-2.146615887109164E-5</v>
      </c>
      <c r="W79" s="2"/>
      <c r="X79" s="7">
        <f t="shared" si="49"/>
        <v>30.15</v>
      </c>
      <c r="Y79" s="2"/>
      <c r="Z79" s="6">
        <f t="shared" si="50"/>
        <v>-1</v>
      </c>
    </row>
    <row r="80" spans="1:26" s="29" customFormat="1" outlineLevel="1" collapsed="1" x14ac:dyDescent="0.3">
      <c r="A80" s="28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970</v>
      </c>
      <c r="E80" s="1"/>
      <c r="F80" s="5">
        <f t="shared" si="43"/>
        <v>6.226837928247568E-3</v>
      </c>
      <c r="G80" s="1"/>
      <c r="H80" s="1">
        <f>SUM(OSRRefH22_7x_0)</f>
        <v>1250</v>
      </c>
      <c r="I80" s="1"/>
      <c r="J80" s="5">
        <f t="shared" si="44"/>
        <v>9.6755359337406914E-3</v>
      </c>
      <c r="K80" s="1"/>
      <c r="L80" s="1">
        <f t="shared" si="45"/>
        <v>-280</v>
      </c>
      <c r="M80" s="1"/>
      <c r="N80" s="5">
        <f t="shared" si="46"/>
        <v>-0.224</v>
      </c>
      <c r="O80" s="14"/>
      <c r="P80" s="1">
        <f>SUM(OSRRefP22_7x_0)</f>
        <v>6610</v>
      </c>
      <c r="Q80" s="1"/>
      <c r="R80" s="5">
        <f t="shared" si="47"/>
        <v>5.8890238840455644E-3</v>
      </c>
      <c r="S80" s="1"/>
      <c r="T80" s="1">
        <f>SUM(OSRRefT22_7x_0)</f>
        <v>8750</v>
      </c>
      <c r="U80" s="1"/>
      <c r="V80" s="5">
        <f t="shared" si="48"/>
        <v>6.2298139343964134E-3</v>
      </c>
      <c r="W80" s="1"/>
      <c r="X80" s="1">
        <f t="shared" si="49"/>
        <v>-2140</v>
      </c>
      <c r="Y80" s="1"/>
      <c r="Z80" s="5">
        <f t="shared" si="50"/>
        <v>-0.24457142857142858</v>
      </c>
    </row>
    <row r="81" spans="1:26" s="24" customFormat="1" hidden="1" outlineLevel="2" x14ac:dyDescent="0.3">
      <c r="A81" s="27"/>
      <c r="B81" s="11" t="str">
        <f>CONCATENATE("          ", "6408", " - ", "INVENTORY ADJUSTMENT")</f>
        <v xml:space="preserve">          6408 - INVENTORY ADJUSTMENT</v>
      </c>
      <c r="C81" s="11"/>
      <c r="D81" s="7">
        <v>970</v>
      </c>
      <c r="E81" s="2"/>
      <c r="F81" s="6">
        <f t="shared" si="43"/>
        <v>6.226837928247568E-3</v>
      </c>
      <c r="G81" s="2"/>
      <c r="H81" s="7">
        <v>1250</v>
      </c>
      <c r="I81" s="2"/>
      <c r="J81" s="6">
        <f t="shared" si="44"/>
        <v>9.6755359337406914E-3</v>
      </c>
      <c r="K81" s="2"/>
      <c r="L81" s="7">
        <f t="shared" si="45"/>
        <v>-280</v>
      </c>
      <c r="M81" s="2"/>
      <c r="N81" s="6">
        <f t="shared" si="46"/>
        <v>-0.224</v>
      </c>
      <c r="O81" s="11"/>
      <c r="P81" s="7">
        <v>6610</v>
      </c>
      <c r="Q81" s="2"/>
      <c r="R81" s="6">
        <f t="shared" si="47"/>
        <v>5.8890238840455644E-3</v>
      </c>
      <c r="S81" s="2"/>
      <c r="T81" s="7">
        <v>8750</v>
      </c>
      <c r="U81" s="2"/>
      <c r="V81" s="6">
        <f t="shared" si="48"/>
        <v>6.2298139343964134E-3</v>
      </c>
      <c r="W81" s="2"/>
      <c r="X81" s="7">
        <f t="shared" si="49"/>
        <v>-2140</v>
      </c>
      <c r="Y81" s="2"/>
      <c r="Z81" s="6">
        <f t="shared" si="50"/>
        <v>-0.24457142857142858</v>
      </c>
    </row>
    <row r="82" spans="1:26" s="29" customFormat="1" outlineLevel="1" collapsed="1" x14ac:dyDescent="0.3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SUM(OSRRefD22_8x_0)</f>
        <v>11.04</v>
      </c>
      <c r="E82" s="1"/>
      <c r="F82" s="5">
        <f t="shared" si="43"/>
        <v>7.0870402812219741E-5</v>
      </c>
      <c r="G82" s="1"/>
      <c r="H82" s="1">
        <f>SUM(OSRRefH22_8x_0)</f>
        <v>-683.71</v>
      </c>
      <c r="I82" s="1"/>
      <c r="J82" s="5">
        <f t="shared" si="44"/>
        <v>-5.2922085386062781E-3</v>
      </c>
      <c r="K82" s="1"/>
      <c r="L82" s="1">
        <f t="shared" si="45"/>
        <v>694.75</v>
      </c>
      <c r="M82" s="1"/>
      <c r="N82" s="5">
        <f t="shared" si="46"/>
        <v>-1.016147196910971</v>
      </c>
      <c r="O82" s="14"/>
      <c r="P82" s="1">
        <f>SUM(OSRRefP22_8x_0)</f>
        <v>3318.5</v>
      </c>
      <c r="Q82" s="1"/>
      <c r="R82" s="5">
        <f t="shared" si="47"/>
        <v>2.9565394491989721E-3</v>
      </c>
      <c r="S82" s="1"/>
      <c r="T82" s="1">
        <f>SUM(OSRRefT22_8x_0)</f>
        <v>2069.86</v>
      </c>
      <c r="U82" s="1"/>
      <c r="V82" s="5">
        <f t="shared" si="48"/>
        <v>1.4736963051714012E-3</v>
      </c>
      <c r="W82" s="1"/>
      <c r="X82" s="1">
        <f t="shared" si="49"/>
        <v>1248.6399999999999</v>
      </c>
      <c r="Y82" s="1"/>
      <c r="Z82" s="5">
        <f t="shared" si="50"/>
        <v>0.60324852888601155</v>
      </c>
    </row>
    <row r="83" spans="1:26" s="24" customFormat="1" hidden="1" outlineLevel="2" x14ac:dyDescent="0.3">
      <c r="A83" s="27"/>
      <c r="B83" s="11" t="str">
        <f>CONCATENATE("          ", "6235", " - ", "COVID-19 EXPENSES")</f>
        <v xml:space="preserve">          6235 - COVID-19 EXPENSES</v>
      </c>
      <c r="C83" s="11"/>
      <c r="D83" s="7"/>
      <c r="E83" s="2"/>
      <c r="F83" s="6">
        <f t="shared" si="43"/>
        <v>0</v>
      </c>
      <c r="G83" s="2"/>
      <c r="H83" s="7"/>
      <c r="I83" s="2"/>
      <c r="J83" s="6">
        <f t="shared" si="44"/>
        <v>0</v>
      </c>
      <c r="K83" s="2"/>
      <c r="L83" s="7">
        <f t="shared" si="45"/>
        <v>0</v>
      </c>
      <c r="M83" s="2"/>
      <c r="N83" s="6">
        <f t="shared" si="46"/>
        <v>0</v>
      </c>
      <c r="O83" s="11"/>
      <c r="P83" s="7"/>
      <c r="Q83" s="2"/>
      <c r="R83" s="6">
        <f t="shared" si="47"/>
        <v>0</v>
      </c>
      <c r="S83" s="2"/>
      <c r="T83" s="7">
        <v>668.12</v>
      </c>
      <c r="U83" s="2"/>
      <c r="V83" s="6">
        <f t="shared" si="48"/>
        <v>4.7568723266844937E-4</v>
      </c>
      <c r="W83" s="2"/>
      <c r="X83" s="7">
        <f t="shared" si="49"/>
        <v>-668.12</v>
      </c>
      <c r="Y83" s="2"/>
      <c r="Z83" s="6">
        <f t="shared" si="50"/>
        <v>-1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7">
        <v>11.04</v>
      </c>
      <c r="E84" s="2"/>
      <c r="F84" s="6">
        <f t="shared" si="43"/>
        <v>7.0870402812219741E-5</v>
      </c>
      <c r="G84" s="2"/>
      <c r="H84" s="7">
        <v>-683.71</v>
      </c>
      <c r="I84" s="2"/>
      <c r="J84" s="6">
        <f t="shared" si="44"/>
        <v>-5.2922085386062781E-3</v>
      </c>
      <c r="K84" s="2"/>
      <c r="L84" s="7">
        <f t="shared" si="45"/>
        <v>694.75</v>
      </c>
      <c r="M84" s="2"/>
      <c r="N84" s="6">
        <f t="shared" si="46"/>
        <v>-1.016147196910971</v>
      </c>
      <c r="O84" s="11"/>
      <c r="P84" s="7">
        <v>406.5</v>
      </c>
      <c r="Q84" s="2"/>
      <c r="R84" s="6">
        <f t="shared" si="47"/>
        <v>3.6216160497193979E-4</v>
      </c>
      <c r="S84" s="2"/>
      <c r="T84" s="7">
        <v>1401.74</v>
      </c>
      <c r="U84" s="2"/>
      <c r="V84" s="6">
        <f t="shared" si="48"/>
        <v>9.9800907250295178E-4</v>
      </c>
      <c r="W84" s="2"/>
      <c r="X84" s="7">
        <f t="shared" si="49"/>
        <v>-995.24</v>
      </c>
      <c r="Y84" s="2"/>
      <c r="Z84" s="6">
        <f t="shared" si="50"/>
        <v>-0.71000328163568138</v>
      </c>
    </row>
    <row r="85" spans="1:26" s="24" customFormat="1" hidden="1" outlineLevel="2" x14ac:dyDescent="0.3">
      <c r="A85" s="27"/>
      <c r="B85" s="11" t="str">
        <f>CONCATENATE("          ", "6247", " - ", "STORE SUPPLIES")</f>
        <v xml:space="preserve">          6247 - STORE SUPPLIES</v>
      </c>
      <c r="C85" s="11"/>
      <c r="D85" s="7"/>
      <c r="E85" s="2"/>
      <c r="F85" s="6">
        <f t="shared" si="43"/>
        <v>0</v>
      </c>
      <c r="G85" s="2"/>
      <c r="H85" s="7"/>
      <c r="I85" s="2"/>
      <c r="J85" s="6">
        <f t="shared" si="44"/>
        <v>0</v>
      </c>
      <c r="K85" s="2"/>
      <c r="L85" s="7">
        <f t="shared" si="45"/>
        <v>0</v>
      </c>
      <c r="M85" s="2"/>
      <c r="N85" s="6">
        <f t="shared" si="46"/>
        <v>0</v>
      </c>
      <c r="O85" s="11"/>
      <c r="P85" s="7">
        <v>2912</v>
      </c>
      <c r="Q85" s="2"/>
      <c r="R85" s="6">
        <f t="shared" si="47"/>
        <v>2.5943778442270326E-3</v>
      </c>
      <c r="S85" s="2"/>
      <c r="T85" s="7"/>
      <c r="U85" s="2"/>
      <c r="V85" s="6">
        <f t="shared" si="48"/>
        <v>0</v>
      </c>
      <c r="W85" s="2"/>
      <c r="X85" s="7">
        <f t="shared" si="49"/>
        <v>2912</v>
      </c>
      <c r="Y85" s="2"/>
      <c r="Z85" s="6">
        <f t="shared" si="50"/>
        <v>0</v>
      </c>
    </row>
    <row r="86" spans="1:26" s="29" customFormat="1" outlineLevel="1" collapsed="1" x14ac:dyDescent="0.3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SUM(OSRRefD22_9x_0)</f>
        <v>203.25</v>
      </c>
      <c r="E86" s="1"/>
      <c r="F86" s="5">
        <f t="shared" ref="F86:F89" si="51">IF(D$12=0,0,D86/D$12)</f>
        <v>1.3047472256869259E-3</v>
      </c>
      <c r="G86" s="1"/>
      <c r="H86" s="1">
        <f>SUM(OSRRefH22_9x_0)</f>
        <v>227.45</v>
      </c>
      <c r="I86" s="1"/>
      <c r="J86" s="5">
        <f t="shared" ref="J86:J89" si="52">IF(H$12=0,0,H86/H$12)</f>
        <v>1.7605605185034559E-3</v>
      </c>
      <c r="K86" s="1"/>
      <c r="L86" s="1">
        <f t="shared" ref="L86:L89" si="53">+D86-H86</f>
        <v>-24.199999999999989</v>
      </c>
      <c r="M86" s="1"/>
      <c r="N86" s="5">
        <f t="shared" ref="N86:N89" si="54">IF(H86=0,0,L86/H86)</f>
        <v>-0.10639701033194104</v>
      </c>
      <c r="O86" s="14"/>
      <c r="P86" s="1">
        <f>SUM(OSRRefP22_9x_0)</f>
        <v>1465.6</v>
      </c>
      <c r="Q86" s="1"/>
      <c r="R86" s="5">
        <f t="shared" ref="R86:R89" si="55">IF(P$12=0,0,P86/P$12)</f>
        <v>1.3057418161054734E-3</v>
      </c>
      <c r="S86" s="1"/>
      <c r="T86" s="1">
        <f>SUM(OSRRefT22_9x_0)</f>
        <v>2080.75</v>
      </c>
      <c r="U86" s="1"/>
      <c r="V86" s="5">
        <f t="shared" ref="V86:V89" si="56">IF(T$12=0,0,T86/T$12)</f>
        <v>1.4814497535994673E-3</v>
      </c>
      <c r="W86" s="1"/>
      <c r="X86" s="1">
        <f t="shared" ref="X86:X89" si="57">+P86-T86</f>
        <v>-615.15000000000009</v>
      </c>
      <c r="Y86" s="1"/>
      <c r="Z86" s="5">
        <f t="shared" ref="Z86:Z89" si="58">IF(T86=0,0,X86/T86)</f>
        <v>-0.2956385918538989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7">
        <v>203.25</v>
      </c>
      <c r="E87" s="2"/>
      <c r="F87" s="6">
        <f t="shared" si="51"/>
        <v>1.3047472256869259E-3</v>
      </c>
      <c r="G87" s="2"/>
      <c r="H87" s="7">
        <v>227.45</v>
      </c>
      <c r="I87" s="2"/>
      <c r="J87" s="6">
        <f t="shared" si="52"/>
        <v>1.7605605185034559E-3</v>
      </c>
      <c r="K87" s="2"/>
      <c r="L87" s="7">
        <f t="shared" si="53"/>
        <v>-24.199999999999989</v>
      </c>
      <c r="M87" s="2"/>
      <c r="N87" s="6">
        <f t="shared" si="54"/>
        <v>-0.10639701033194104</v>
      </c>
      <c r="O87" s="11"/>
      <c r="P87" s="7">
        <v>1465.6</v>
      </c>
      <c r="Q87" s="2"/>
      <c r="R87" s="6">
        <f t="shared" si="55"/>
        <v>1.3057418161054734E-3</v>
      </c>
      <c r="S87" s="2"/>
      <c r="T87" s="7">
        <v>2080.75</v>
      </c>
      <c r="U87" s="2"/>
      <c r="V87" s="6">
        <f t="shared" si="56"/>
        <v>1.4814497535994673E-3</v>
      </c>
      <c r="W87" s="2"/>
      <c r="X87" s="7">
        <f t="shared" si="57"/>
        <v>-615.15000000000009</v>
      </c>
      <c r="Y87" s="2"/>
      <c r="Z87" s="6">
        <f t="shared" si="58"/>
        <v>-0.2956385918538989</v>
      </c>
    </row>
    <row r="88" spans="1:26" s="29" customFormat="1" outlineLevel="1" collapsed="1" x14ac:dyDescent="0.3">
      <c r="A88" s="28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SUM(OSRRefD22_10x_0)</f>
        <v>0</v>
      </c>
      <c r="E88" s="1"/>
      <c r="F88" s="5">
        <f t="shared" si="51"/>
        <v>0</v>
      </c>
      <c r="G88" s="1"/>
      <c r="H88" s="1">
        <f>SUM(OSRRefH22_10x_0)</f>
        <v>0</v>
      </c>
      <c r="I88" s="1"/>
      <c r="J88" s="5">
        <f t="shared" si="52"/>
        <v>0</v>
      </c>
      <c r="K88" s="1"/>
      <c r="L88" s="1">
        <f t="shared" si="53"/>
        <v>0</v>
      </c>
      <c r="M88" s="1"/>
      <c r="N88" s="5">
        <f t="shared" si="54"/>
        <v>0</v>
      </c>
      <c r="O88" s="14"/>
      <c r="P88" s="1">
        <f>SUM(OSRRefP22_10x_0)</f>
        <v>0</v>
      </c>
      <c r="Q88" s="1"/>
      <c r="R88" s="5">
        <f t="shared" si="55"/>
        <v>0</v>
      </c>
      <c r="S88" s="1"/>
      <c r="T88" s="1">
        <f>SUM(OSRRefT22_10x_0)</f>
        <v>100</v>
      </c>
      <c r="U88" s="1"/>
      <c r="V88" s="5">
        <f t="shared" si="56"/>
        <v>7.1197873535959011E-5</v>
      </c>
      <c r="W88" s="1"/>
      <c r="X88" s="1">
        <f t="shared" si="57"/>
        <v>-100</v>
      </c>
      <c r="Y88" s="1"/>
      <c r="Z88" s="5">
        <f t="shared" si="58"/>
        <v>-1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1"/>
        <v>0</v>
      </c>
      <c r="G89" s="2"/>
      <c r="H89" s="7"/>
      <c r="I89" s="2"/>
      <c r="J89" s="6">
        <f t="shared" si="52"/>
        <v>0</v>
      </c>
      <c r="K89" s="2"/>
      <c r="L89" s="7">
        <f t="shared" si="53"/>
        <v>0</v>
      </c>
      <c r="M89" s="2"/>
      <c r="N89" s="6">
        <f t="shared" si="54"/>
        <v>0</v>
      </c>
      <c r="O89" s="11"/>
      <c r="P89" s="7"/>
      <c r="Q89" s="2"/>
      <c r="R89" s="6">
        <f t="shared" si="55"/>
        <v>0</v>
      </c>
      <c r="S89" s="2"/>
      <c r="T89" s="7">
        <v>100</v>
      </c>
      <c r="U89" s="2"/>
      <c r="V89" s="6">
        <f t="shared" si="56"/>
        <v>7.1197873535959011E-5</v>
      </c>
      <c r="W89" s="2"/>
      <c r="X89" s="7">
        <f t="shared" si="57"/>
        <v>-100</v>
      </c>
      <c r="Y89" s="2"/>
      <c r="Z89" s="6">
        <f t="shared" si="58"/>
        <v>-1</v>
      </c>
    </row>
    <row r="90" spans="1:26" s="52" customFormat="1" x14ac:dyDescent="0.3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">
      <c r="A91" s="10"/>
      <c r="B91" s="26" t="s">
        <v>292</v>
      </c>
      <c r="C91" s="10"/>
      <c r="D91" s="4">
        <f>SUM(OSRRefD25x_0)</f>
        <v>1242.72</v>
      </c>
      <c r="E91" s="4"/>
      <c r="F91" s="12">
        <f t="shared" ref="F91:F94" si="59">IF(D$12=0,0,D91/D$12)</f>
        <v>7.9775422991668222E-3</v>
      </c>
      <c r="G91" s="4"/>
      <c r="H91" s="4">
        <f>SUM(OSRRefH25x_0)</f>
        <v>285.94</v>
      </c>
      <c r="I91" s="4"/>
      <c r="J91" s="12">
        <f t="shared" ref="J91:J94" si="60">IF(H$12=0,0,H91/H$12)</f>
        <v>2.2132981959150505E-3</v>
      </c>
      <c r="K91" s="4"/>
      <c r="L91" s="4">
        <f t="shared" ref="L91:L94" si="61">+D91-H91</f>
        <v>956.78</v>
      </c>
      <c r="M91" s="4"/>
      <c r="N91" s="12">
        <f t="shared" ref="N91:N94" si="62">IF(H91=0,0,L91/H91)</f>
        <v>3.3460865915926417</v>
      </c>
      <c r="O91" s="10"/>
      <c r="P91" s="4">
        <f>SUM(OSRRefP25x_0)</f>
        <v>3840.75</v>
      </c>
      <c r="Q91" s="4"/>
      <c r="R91" s="12">
        <f t="shared" ref="R91:R94" si="63">IF(P$12=0,0,P91/P$12)</f>
        <v>3.4218257916260215E-3</v>
      </c>
      <c r="S91" s="4"/>
      <c r="T91" s="4">
        <f>SUM(OSRRefT25x_0)</f>
        <v>629.04</v>
      </c>
      <c r="U91" s="4"/>
      <c r="V91" s="12">
        <f t="shared" ref="V91:V94" si="64">IF(T$12=0,0,T91/T$12)</f>
        <v>4.4786310369059653E-4</v>
      </c>
      <c r="W91" s="4"/>
      <c r="X91" s="4">
        <f t="shared" ref="X91:X94" si="65">+P91-T91</f>
        <v>3211.71</v>
      </c>
      <c r="Y91" s="4"/>
      <c r="Z91" s="12">
        <f t="shared" ref="Z91:Z94" si="66">IF(T91=0,0,X91/T91)</f>
        <v>5.105732544830218</v>
      </c>
    </row>
    <row r="92" spans="1:26" s="24" customFormat="1" hidden="1" outlineLevel="1" x14ac:dyDescent="0.3">
      <c r="A92" s="44"/>
      <c r="B92" s="11" t="str">
        <f>CONCATENATE("          ", "4187", " - ", "NON-TAXABLE SALES-COMPUTER REP")</f>
        <v xml:space="preserve">          4187 - NON-TAXABLE SALES-COMPUTER REP</v>
      </c>
      <c r="C92" s="11"/>
      <c r="D92" s="2">
        <f>0</f>
        <v>0</v>
      </c>
      <c r="E92" s="2"/>
      <c r="F92" s="19">
        <f t="shared" si="59"/>
        <v>0</v>
      </c>
      <c r="G92" s="2"/>
      <c r="H92" s="2">
        <f>--651.37</f>
        <v>651.37</v>
      </c>
      <c r="I92" s="2"/>
      <c r="J92" s="19">
        <f t="shared" si="60"/>
        <v>5.0418830729285387E-3</v>
      </c>
      <c r="K92" s="2"/>
      <c r="L92" s="2">
        <f t="shared" si="61"/>
        <v>-651.37</v>
      </c>
      <c r="M92" s="2"/>
      <c r="N92" s="19">
        <f t="shared" si="62"/>
        <v>-1</v>
      </c>
      <c r="O92" s="11"/>
      <c r="P92" s="2">
        <f>0</f>
        <v>0</v>
      </c>
      <c r="Q92" s="2"/>
      <c r="R92" s="19">
        <f t="shared" si="63"/>
        <v>0</v>
      </c>
      <c r="S92" s="2"/>
      <c r="T92" s="2">
        <f>--1685.87</f>
        <v>1685.87</v>
      </c>
      <c r="U92" s="2"/>
      <c r="V92" s="19">
        <f t="shared" si="64"/>
        <v>1.200303590580672E-3</v>
      </c>
      <c r="W92" s="2"/>
      <c r="X92" s="2">
        <f t="shared" si="65"/>
        <v>-1685.87</v>
      </c>
      <c r="Y92" s="2"/>
      <c r="Z92" s="19">
        <f t="shared" si="66"/>
        <v>-1</v>
      </c>
    </row>
    <row r="93" spans="1:26" s="24" customFormat="1" hidden="1" outlineLevel="1" x14ac:dyDescent="0.3">
      <c r="A93" s="44"/>
      <c r="B93" s="11" t="str">
        <f>CONCATENATE("          ", "9087", " - ", "")</f>
        <v xml:space="preserve">          9087 - </v>
      </c>
      <c r="C93" s="11"/>
      <c r="D93" s="2">
        <f>--1293.31</f>
        <v>1293.31</v>
      </c>
      <c r="E93" s="2"/>
      <c r="F93" s="19">
        <f t="shared" si="59"/>
        <v>8.3023007845173837E-3</v>
      </c>
      <c r="G93" s="2"/>
      <c r="H93" s="2">
        <f>0</f>
        <v>0</v>
      </c>
      <c r="I93" s="2"/>
      <c r="J93" s="19">
        <f t="shared" si="60"/>
        <v>0</v>
      </c>
      <c r="K93" s="2"/>
      <c r="L93" s="2">
        <f t="shared" si="61"/>
        <v>1293.31</v>
      </c>
      <c r="M93" s="2"/>
      <c r="N93" s="19">
        <f t="shared" si="62"/>
        <v>0</v>
      </c>
      <c r="O93" s="11"/>
      <c r="P93" s="2">
        <f>--1631.01</f>
        <v>1631.01</v>
      </c>
      <c r="Q93" s="2"/>
      <c r="R93" s="19">
        <f t="shared" si="63"/>
        <v>1.4531099614398118E-3</v>
      </c>
      <c r="S93" s="2"/>
      <c r="T93" s="2">
        <f>0</f>
        <v>0</v>
      </c>
      <c r="U93" s="2"/>
      <c r="V93" s="19">
        <f t="shared" si="64"/>
        <v>0</v>
      </c>
      <c r="W93" s="2"/>
      <c r="X93" s="2">
        <f t="shared" si="65"/>
        <v>1631.01</v>
      </c>
      <c r="Y93" s="2"/>
      <c r="Z93" s="19">
        <f t="shared" si="66"/>
        <v>0</v>
      </c>
    </row>
    <row r="94" spans="1:26" s="24" customFormat="1" hidden="1" outlineLevel="1" x14ac:dyDescent="0.3">
      <c r="A94" s="44"/>
      <c r="B94" s="11" t="str">
        <f>CONCATENATE("          ", "9150", " - ", "MISC. INCOME")</f>
        <v xml:space="preserve">          9150 - MISC. INCOME</v>
      </c>
      <c r="C94" s="11"/>
      <c r="D94" s="2">
        <f>-50.59</f>
        <v>-50.59</v>
      </c>
      <c r="E94" s="2"/>
      <c r="F94" s="19">
        <f t="shared" si="59"/>
        <v>-3.2475848535056131E-4</v>
      </c>
      <c r="G94" s="2"/>
      <c r="H94" s="2">
        <f>-365.43</f>
        <v>-365.43</v>
      </c>
      <c r="I94" s="2"/>
      <c r="J94" s="19">
        <f t="shared" si="60"/>
        <v>-2.8285848770134886E-3</v>
      </c>
      <c r="K94" s="2"/>
      <c r="L94" s="2">
        <f t="shared" si="61"/>
        <v>314.84000000000003</v>
      </c>
      <c r="M94" s="2"/>
      <c r="N94" s="19">
        <f t="shared" si="62"/>
        <v>-0.86156035355608473</v>
      </c>
      <c r="O94" s="11"/>
      <c r="P94" s="2">
        <f>--2209.74</f>
        <v>2209.7399999999998</v>
      </c>
      <c r="Q94" s="2"/>
      <c r="R94" s="19">
        <f t="shared" si="63"/>
        <v>1.9687158301862095E-3</v>
      </c>
      <c r="S94" s="2"/>
      <c r="T94" s="2">
        <f>-1056.83</f>
        <v>-1056.83</v>
      </c>
      <c r="U94" s="2"/>
      <c r="V94" s="19">
        <f t="shared" si="64"/>
        <v>-7.5244048689007562E-4</v>
      </c>
      <c r="W94" s="2"/>
      <c r="X94" s="2">
        <f t="shared" si="65"/>
        <v>3266.5699999999997</v>
      </c>
      <c r="Y94" s="2"/>
      <c r="Z94" s="19">
        <f t="shared" si="66"/>
        <v>-3.0909133919362621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10"/>
      <c r="B96" s="25" t="s">
        <v>276</v>
      </c>
      <c r="C96" s="25"/>
      <c r="D96" s="21">
        <f>+D50-D52+D91</f>
        <v>9715.6400000000158</v>
      </c>
      <c r="E96" s="13"/>
      <c r="F96" s="22">
        <f>IF(D$12=0,0,D96/D$12)</f>
        <v>6.2368779019793097E-2</v>
      </c>
      <c r="G96" s="13"/>
      <c r="H96" s="21">
        <f>+H50-H52+H91</f>
        <v>4650.4900000000098</v>
      </c>
      <c r="I96" s="13"/>
      <c r="J96" s="22">
        <f>IF(H$12=0,0,H96/H$12)</f>
        <v>3.5996786483601474E-2</v>
      </c>
      <c r="K96" s="15"/>
      <c r="L96" s="21">
        <f>+D96-H96</f>
        <v>5065.150000000006</v>
      </c>
      <c r="M96" s="15"/>
      <c r="N96" s="22">
        <f>IF(H96=0,0,L96/H96)</f>
        <v>1.0891647976879846</v>
      </c>
      <c r="O96" s="26"/>
      <c r="P96" s="21">
        <f>+P50-P52+P91</f>
        <v>72062.690000000061</v>
      </c>
      <c r="Q96" s="13"/>
      <c r="R96" s="22">
        <f>IF(P$12=0,0,P96/P$12)</f>
        <v>6.4202557119299827E-2</v>
      </c>
      <c r="S96" s="13"/>
      <c r="T96" s="21">
        <f>+T50-T52+T91</f>
        <v>-15855.160000000011</v>
      </c>
      <c r="U96" s="13"/>
      <c r="V96" s="22">
        <f>IF(T$12=0,0,T96/T$12)</f>
        <v>-1.1288536765723967E-2</v>
      </c>
      <c r="W96" s="15"/>
      <c r="X96" s="21">
        <f>+P96-T96</f>
        <v>87917.850000000064</v>
      </c>
      <c r="Y96" s="15"/>
      <c r="Z96" s="22">
        <f>IF(T96=0,0,X96/T96)</f>
        <v>-5.5450623014841858</v>
      </c>
    </row>
    <row r="97" spans="1:26" x14ac:dyDescent="0.3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51"/>
      <c r="B98" s="10" t="s">
        <v>127</v>
      </c>
      <c r="C98" s="10"/>
      <c r="D98" s="4">
        <v>32216.33</v>
      </c>
      <c r="E98" s="4"/>
      <c r="F98" s="12">
        <f>IF(D$12=0,0,D98/D$12)</f>
        <v>0.20681017067313401</v>
      </c>
      <c r="G98" s="4"/>
      <c r="H98" s="4">
        <v>18994.759999999998</v>
      </c>
      <c r="I98" s="4"/>
      <c r="J98" s="12">
        <f>IF(H$12=0,0,H98/H$12)</f>
        <v>0.14702758634622423</v>
      </c>
      <c r="K98" s="4"/>
      <c r="L98" s="4">
        <f>+D98-H98</f>
        <v>13221.570000000003</v>
      </c>
      <c r="M98" s="4"/>
      <c r="N98" s="12">
        <f>IF(H98=0,0,L98/H98)</f>
        <v>0.69606407240733781</v>
      </c>
      <c r="O98" s="10"/>
      <c r="P98" s="4">
        <v>148572.74</v>
      </c>
      <c r="Q98" s="4"/>
      <c r="R98" s="12">
        <f>IF(P$12=0,0,P98/P$12)</f>
        <v>0.13236738492860692</v>
      </c>
      <c r="S98" s="4"/>
      <c r="T98" s="4">
        <v>254960.5</v>
      </c>
      <c r="U98" s="4"/>
      <c r="V98" s="12">
        <f>IF(T$12=0,0,T98/T$12)</f>
        <v>0.18152645435664877</v>
      </c>
      <c r="W98" s="4"/>
      <c r="X98" s="4">
        <f>+P98-T98</f>
        <v>-106387.76000000001</v>
      </c>
      <c r="Y98" s="4"/>
      <c r="Z98" s="12">
        <f>IF(T98=0,0,X98/T98)</f>
        <v>-0.41727153814022178</v>
      </c>
    </row>
    <row r="99" spans="1:26" x14ac:dyDescent="0.3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5" t="s">
        <v>125</v>
      </c>
      <c r="C100" s="25"/>
      <c r="D100" s="36">
        <f>+D96-D98</f>
        <v>-22500.689999999988</v>
      </c>
      <c r="E100" s="13"/>
      <c r="F100" s="31">
        <f>IF(D$12=0,0,D100/D$12)</f>
        <v>-0.14444139165334091</v>
      </c>
      <c r="G100" s="13"/>
      <c r="H100" s="36">
        <f>+H96-H98</f>
        <v>-14344.26999999999</v>
      </c>
      <c r="I100" s="13"/>
      <c r="J100" s="31">
        <f>IF(H$12=0,0,H100/H$12)</f>
        <v>-0.11103079986262278</v>
      </c>
      <c r="K100" s="15"/>
      <c r="L100" s="36">
        <f>D100-H100</f>
        <v>-8156.4199999999983</v>
      </c>
      <c r="M100" s="15"/>
      <c r="N100" s="31">
        <f>IF(H100=0,0,L100/H100)</f>
        <v>0.56861868885624745</v>
      </c>
      <c r="O100" s="26"/>
      <c r="P100" s="36">
        <f>+P96-P98</f>
        <v>-76510.04999999993</v>
      </c>
      <c r="Q100" s="13"/>
      <c r="R100" s="31">
        <f>IF(P$12=0,0,P100/P$12)</f>
        <v>-6.8164827809307105E-2</v>
      </c>
      <c r="S100" s="13"/>
      <c r="T100" s="36">
        <f>+T96-T98</f>
        <v>-270815.66000000003</v>
      </c>
      <c r="U100" s="13"/>
      <c r="V100" s="31">
        <f>IF(T$12=0,0,T100/T$12)</f>
        <v>-0.19281499112237277</v>
      </c>
      <c r="W100" s="15"/>
      <c r="X100" s="36">
        <f>P100-T100</f>
        <v>194305.6100000001</v>
      </c>
      <c r="Y100" s="15"/>
      <c r="Z100" s="31">
        <f>IF(T100=0,0,X100/T100)</f>
        <v>-0.71748291808531339</v>
      </c>
    </row>
    <row r="101" spans="1:26" ht="15" thickTop="1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5" t="s">
        <v>293</v>
      </c>
      <c r="C103" s="25"/>
      <c r="D103" s="35">
        <f>SUM(D100:D102)</f>
        <v>-22500.689999999988</v>
      </c>
      <c r="E103" s="13"/>
      <c r="F103" s="32">
        <f>IF(D$12=0,0,D103/D$12)</f>
        <v>-0.14444139165334091</v>
      </c>
      <c r="G103" s="13"/>
      <c r="H103" s="35">
        <f>SUM(H100:H102)</f>
        <v>-14344.26999999999</v>
      </c>
      <c r="I103" s="13"/>
      <c r="J103" s="32">
        <f>IF(H$12=0,0,H103/H$12)</f>
        <v>-0.11103079986262278</v>
      </c>
      <c r="K103" s="15"/>
      <c r="L103" s="35">
        <f>+D103-H103</f>
        <v>-8156.4199999999983</v>
      </c>
      <c r="M103" s="15"/>
      <c r="N103" s="32">
        <f>IF(H103=0,0,L103/H103)</f>
        <v>0.56861868885624745</v>
      </c>
      <c r="O103" s="26"/>
      <c r="P103" s="35">
        <f>SUM(P100:P102)</f>
        <v>-76510.04999999993</v>
      </c>
      <c r="Q103" s="13"/>
      <c r="R103" s="32">
        <f>IF(P$12=0,0,P103/P$12)</f>
        <v>-6.8164827809307105E-2</v>
      </c>
      <c r="S103" s="13"/>
      <c r="T103" s="35">
        <f>SUM(T100:T102)</f>
        <v>-270815.66000000003</v>
      </c>
      <c r="U103" s="13"/>
      <c r="V103" s="32">
        <f>IF(T$12=0,0,T103/T$12)</f>
        <v>-0.19281499112237277</v>
      </c>
      <c r="W103" s="15"/>
      <c r="X103" s="35">
        <f>+P103-T103</f>
        <v>194305.6100000001</v>
      </c>
      <c r="Y103" s="15"/>
      <c r="Z103" s="32">
        <f>IF(T103=0,0,X103/T103)</f>
        <v>-0.71748291808531339</v>
      </c>
    </row>
    <row r="104" spans="1:26" ht="15" thickTop="1" x14ac:dyDescent="0.3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4">
        <v>44604.028460879628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53" t="s">
        <v>56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A107" s="9"/>
      <c r="B107" s="59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","317", " - ", "Computer Store")</f>
        <v>Department 317 - Computer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155777.30000000002</v>
      </c>
      <c r="E12" s="4"/>
      <c r="F12" s="12"/>
      <c r="G12" s="4"/>
      <c r="H12" s="4">
        <f>SUM(OSRRefH13x_0)</f>
        <v>129191.81000000001</v>
      </c>
      <c r="I12" s="4"/>
      <c r="J12" s="12"/>
      <c r="K12" s="4"/>
      <c r="L12" s="4">
        <f t="shared" ref="L12:L33" si="0">+D12-H12</f>
        <v>26585.490000000005</v>
      </c>
      <c r="M12" s="4"/>
      <c r="N12" s="12">
        <f t="shared" ref="N12:N33" si="1">IF(H12=0,0,L12/H12)</f>
        <v>0.20578309104888307</v>
      </c>
      <c r="O12" s="10"/>
      <c r="P12" s="4">
        <f>SUM(OSRRefP13x_0)</f>
        <v>1122427.1000000001</v>
      </c>
      <c r="Q12" s="4"/>
      <c r="R12" s="12"/>
      <c r="S12" s="4"/>
      <c r="T12" s="4">
        <f>SUM(OSRRefT13x_0)</f>
        <v>1404536.33</v>
      </c>
      <c r="U12" s="4"/>
      <c r="V12" s="12"/>
      <c r="W12" s="4"/>
      <c r="X12" s="4">
        <f t="shared" ref="X12:X33" si="2">+P12-T12</f>
        <v>-282109.23</v>
      </c>
      <c r="Y12" s="4"/>
      <c r="Z12" s="12">
        <f t="shared" ref="Z12:Z33" si="3">IF(T12=0,0,X12/T12)</f>
        <v>-0.20085577280866773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--88232.58</f>
        <v>88232.58</v>
      </c>
      <c r="E13" s="2"/>
      <c r="F13" s="19"/>
      <c r="G13" s="2"/>
      <c r="H13" s="2">
        <f>-339.19</f>
        <v>-339.19</v>
      </c>
      <c r="I13" s="2"/>
      <c r="J13" s="19"/>
      <c r="K13" s="2"/>
      <c r="L13" s="2">
        <f t="shared" si="0"/>
        <v>88571.77</v>
      </c>
      <c r="M13" s="2"/>
      <c r="N13" s="19">
        <f t="shared" si="1"/>
        <v>-261.12730328134677</v>
      </c>
      <c r="O13" s="11"/>
      <c r="P13" s="2">
        <f>--906659.33</f>
        <v>906659.33</v>
      </c>
      <c r="Q13" s="2"/>
      <c r="R13" s="19"/>
      <c r="S13" s="2"/>
      <c r="T13" s="2">
        <f>-2647.96</f>
        <v>-2647.96</v>
      </c>
      <c r="U13" s="2"/>
      <c r="V13" s="19"/>
      <c r="W13" s="2"/>
      <c r="X13" s="2">
        <f t="shared" si="2"/>
        <v>909307.28999999992</v>
      </c>
      <c r="Y13" s="2"/>
      <c r="Z13" s="19">
        <f t="shared" si="3"/>
        <v>-343.39917899061913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--2318.54</f>
        <v>2318.54</v>
      </c>
      <c r="I14" s="2"/>
      <c r="J14" s="19"/>
      <c r="K14" s="2"/>
      <c r="L14" s="2">
        <f t="shared" si="0"/>
        <v>-2318.54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--59198.06</f>
        <v>59198.06</v>
      </c>
      <c r="U14" s="2"/>
      <c r="V14" s="19"/>
      <c r="W14" s="2"/>
      <c r="X14" s="2">
        <f t="shared" si="2"/>
        <v>-59198.06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--91766.28</f>
        <v>91766.28</v>
      </c>
      <c r="I15" s="2"/>
      <c r="J15" s="19"/>
      <c r="K15" s="2"/>
      <c r="L15" s="2">
        <f t="shared" si="0"/>
        <v>-91766.28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--1085023.17</f>
        <v>1085023.17</v>
      </c>
      <c r="U15" s="2"/>
      <c r="V15" s="19"/>
      <c r="W15" s="2"/>
      <c r="X15" s="2">
        <f t="shared" si="2"/>
        <v>-1085023.17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--8639.61</f>
        <v>8639.61</v>
      </c>
      <c r="I16" s="2"/>
      <c r="J16" s="19"/>
      <c r="K16" s="2"/>
      <c r="L16" s="2">
        <f t="shared" si="0"/>
        <v>-8639.61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--93277.59</f>
        <v>93277.59</v>
      </c>
      <c r="U16" s="2"/>
      <c r="V16" s="19"/>
      <c r="W16" s="2"/>
      <c r="X16" s="2">
        <f t="shared" si="2"/>
        <v>-93277.59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--149.99</f>
        <v>149.99</v>
      </c>
      <c r="I17" s="2"/>
      <c r="J17" s="19"/>
      <c r="K17" s="2"/>
      <c r="L17" s="2">
        <f t="shared" si="0"/>
        <v>-149.99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--2878.93</f>
        <v>2878.93</v>
      </c>
      <c r="U17" s="2"/>
      <c r="V17" s="19"/>
      <c r="W17" s="2"/>
      <c r="X17" s="2">
        <f t="shared" si="2"/>
        <v>-2878.93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--734.26</f>
        <v>734.26</v>
      </c>
      <c r="I18" s="2"/>
      <c r="J18" s="19"/>
      <c r="K18" s="2"/>
      <c r="L18" s="2">
        <f t="shared" si="0"/>
        <v>-734.26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--57869.84</f>
        <v>57869.84</v>
      </c>
      <c r="U18" s="2"/>
      <c r="V18" s="19"/>
      <c r="W18" s="2"/>
      <c r="X18" s="2">
        <f t="shared" si="2"/>
        <v>-57869.84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--75295.63</f>
        <v>75295.63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75295.63</v>
      </c>
      <c r="M19" s="2"/>
      <c r="N19" s="19">
        <f t="shared" si="1"/>
        <v>0</v>
      </c>
      <c r="O19" s="11"/>
      <c r="P19" s="2">
        <f>--415683.21</f>
        <v>415683.21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415683.21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--2038.6</f>
        <v>2038.6</v>
      </c>
      <c r="I20" s="2"/>
      <c r="J20" s="19"/>
      <c r="K20" s="2"/>
      <c r="L20" s="2">
        <f t="shared" si="0"/>
        <v>-2038.6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--5572.72</f>
        <v>5572.72</v>
      </c>
      <c r="U20" s="2"/>
      <c r="V20" s="19"/>
      <c r="W20" s="2"/>
      <c r="X20" s="2">
        <f t="shared" si="2"/>
        <v>-5572.72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--22090.89</f>
        <v>22090.89</v>
      </c>
      <c r="I21" s="2"/>
      <c r="J21" s="19"/>
      <c r="K21" s="2"/>
      <c r="L21" s="2">
        <f t="shared" si="0"/>
        <v>-22090.89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--186399.2</f>
        <v>186399.2</v>
      </c>
      <c r="U21" s="2"/>
      <c r="V21" s="19"/>
      <c r="W21" s="2"/>
      <c r="X21" s="2">
        <f t="shared" si="2"/>
        <v>-186399.2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--2888.95</f>
        <v>2888.95</v>
      </c>
      <c r="I22" s="2"/>
      <c r="J22" s="19"/>
      <c r="K22" s="2"/>
      <c r="L22" s="2">
        <f t="shared" si="0"/>
        <v>-2888.95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--10518.14</f>
        <v>10518.14</v>
      </c>
      <c r="U22" s="2"/>
      <c r="V22" s="19"/>
      <c r="W22" s="2"/>
      <c r="X22" s="2">
        <f t="shared" si="2"/>
        <v>-10518.14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--3149.85</f>
        <v>3149.85</v>
      </c>
      <c r="I23" s="2"/>
      <c r="J23" s="19"/>
      <c r="K23" s="2"/>
      <c r="L23" s="2">
        <f t="shared" si="0"/>
        <v>-3149.85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--29830.52</f>
        <v>29830.52</v>
      </c>
      <c r="U23" s="2"/>
      <c r="V23" s="19"/>
      <c r="W23" s="2"/>
      <c r="X23" s="2">
        <f t="shared" si="2"/>
        <v>-29830.52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--535.04</f>
        <v>535.04</v>
      </c>
      <c r="I24" s="2"/>
      <c r="J24" s="19"/>
      <c r="K24" s="2"/>
      <c r="L24" s="2">
        <f t="shared" si="0"/>
        <v>-535.04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--2485.03</f>
        <v>2485.0300000000002</v>
      </c>
      <c r="U24" s="2"/>
      <c r="V24" s="19"/>
      <c r="W24" s="2"/>
      <c r="X24" s="2">
        <f t="shared" si="2"/>
        <v>-2485.0300000000002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-7468.03</f>
        <v>-7468.03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-7468.03</v>
      </c>
      <c r="M25" s="2"/>
      <c r="N25" s="19">
        <f t="shared" si="1"/>
        <v>0</v>
      </c>
      <c r="O25" s="11"/>
      <c r="P25" s="2">
        <f>-198450.44</f>
        <v>-198450.44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-198450.44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8">0</f>
        <v>0</v>
      </c>
      <c r="E26" s="2"/>
      <c r="F26" s="19"/>
      <c r="G26" s="2"/>
      <c r="H26" s="2">
        <f>-129.99</f>
        <v>-129.99</v>
      </c>
      <c r="I26" s="2"/>
      <c r="J26" s="19"/>
      <c r="K26" s="2"/>
      <c r="L26" s="2">
        <f t="shared" si="0"/>
        <v>129.99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-14762.14</f>
        <v>-14762.14</v>
      </c>
      <c r="U26" s="2"/>
      <c r="V26" s="19"/>
      <c r="W26" s="2"/>
      <c r="X26" s="2">
        <f t="shared" si="2"/>
        <v>14762.14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-4897</f>
        <v>-4897</v>
      </c>
      <c r="I27" s="2"/>
      <c r="J27" s="19"/>
      <c r="K27" s="2"/>
      <c r="L27" s="2">
        <f t="shared" si="0"/>
        <v>4897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-96917.01</f>
        <v>-96917.01</v>
      </c>
      <c r="U27" s="2"/>
      <c r="V27" s="19"/>
      <c r="W27" s="2"/>
      <c r="X27" s="2">
        <f t="shared" si="2"/>
        <v>96917.01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--264.97</f>
        <v>264.97000000000003</v>
      </c>
      <c r="I28" s="2"/>
      <c r="J28" s="19"/>
      <c r="K28" s="2"/>
      <c r="L28" s="2">
        <f t="shared" si="0"/>
        <v>-264.97000000000003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-3146.29</f>
        <v>-3146.29</v>
      </c>
      <c r="U28" s="2"/>
      <c r="V28" s="19"/>
      <c r="W28" s="2"/>
      <c r="X28" s="2">
        <f t="shared" si="2"/>
        <v>3146.29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9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-18.99</f>
        <v>-18.989999999999998</v>
      </c>
      <c r="I30" s="2"/>
      <c r="J30" s="19"/>
      <c r="K30" s="2"/>
      <c r="L30" s="2">
        <f t="shared" si="0"/>
        <v>18.989999999999998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-4727.34</f>
        <v>-4727.34</v>
      </c>
      <c r="U30" s="2"/>
      <c r="V30" s="19"/>
      <c r="W30" s="2"/>
      <c r="X30" s="2">
        <f t="shared" si="2"/>
        <v>4727.34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>-19.99</f>
        <v>-19.989999999999998</v>
      </c>
      <c r="E31" s="2"/>
      <c r="F31" s="19"/>
      <c r="G31" s="2"/>
      <c r="H31" s="2">
        <f t="shared" ref="H31:H33" si="10">0</f>
        <v>0</v>
      </c>
      <c r="I31" s="2"/>
      <c r="J31" s="19"/>
      <c r="K31" s="2"/>
      <c r="L31" s="2">
        <f t="shared" si="0"/>
        <v>-19.989999999999998</v>
      </c>
      <c r="M31" s="2"/>
      <c r="N31" s="19">
        <f t="shared" si="1"/>
        <v>0</v>
      </c>
      <c r="O31" s="11"/>
      <c r="P31" s="2">
        <f>-724.78</f>
        <v>-724.78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-724.78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-262.89</f>
        <v>-262.89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-262.89</v>
      </c>
      <c r="M33" s="2"/>
      <c r="N33" s="19">
        <f t="shared" si="1"/>
        <v>0</v>
      </c>
      <c r="O33" s="11"/>
      <c r="P33" s="2">
        <f>-740.22</f>
        <v>-740.22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-740.22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131815.53</v>
      </c>
      <c r="E35" s="4"/>
      <c r="F35" s="12">
        <f t="shared" ref="F35:F48" si="11">IF(D$12=0,0,D35/D$12)</f>
        <v>0.84617932137737639</v>
      </c>
      <c r="G35" s="4"/>
      <c r="H35" s="4">
        <f>SUM(OSRRefH16x_0)</f>
        <v>110569</v>
      </c>
      <c r="I35" s="4"/>
      <c r="J35" s="12">
        <f t="shared" ref="J35:J48" si="12">IF(H$12=0,0,H35/H$12)</f>
        <v>0.85585146612621954</v>
      </c>
      <c r="K35" s="4"/>
      <c r="L35" s="4">
        <f t="shared" ref="L35:L48" si="13">+D35-H35</f>
        <v>21246.53</v>
      </c>
      <c r="M35" s="4"/>
      <c r="N35" s="12">
        <f t="shared" ref="N35:N48" si="14">IF(H35=0,0,L35/H35)</f>
        <v>0.19215630059058145</v>
      </c>
      <c r="O35" s="10"/>
      <c r="P35" s="4">
        <f>SUM(OSRRefP16x_0)</f>
        <v>954307.76</v>
      </c>
      <c r="Q35" s="4"/>
      <c r="R35" s="12">
        <f t="shared" ref="R35:R48" si="15">IF(P$12=0,0,P35/P$12)</f>
        <v>0.8502180319773105</v>
      </c>
      <c r="S35" s="4"/>
      <c r="T35" s="4">
        <f>SUM(OSRRefT16x_0)</f>
        <v>1326535.8400000001</v>
      </c>
      <c r="U35" s="4"/>
      <c r="V35" s="12">
        <f t="shared" ref="V35:V48" si="16">IF(T$12=0,0,T35/T$12)</f>
        <v>0.94446530977237164</v>
      </c>
      <c r="W35" s="4"/>
      <c r="X35" s="4">
        <f t="shared" ref="X35:X48" si="17">+P35-T35</f>
        <v>-372228.08000000007</v>
      </c>
      <c r="Y35" s="4"/>
      <c r="Z35" s="12">
        <f t="shared" ref="Z35:Z48" si="18">IF(T35=0,0,X35/T35)</f>
        <v>-0.28060160063221512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98491.18</v>
      </c>
      <c r="E36" s="2"/>
      <c r="F36" s="19">
        <f t="shared" si="11"/>
        <v>0.63225630435243119</v>
      </c>
      <c r="G36" s="2"/>
      <c r="H36" s="2"/>
      <c r="I36" s="2"/>
      <c r="J36" s="19">
        <f t="shared" si="12"/>
        <v>0</v>
      </c>
      <c r="K36" s="2"/>
      <c r="L36" s="2">
        <f t="shared" si="13"/>
        <v>98491.18</v>
      </c>
      <c r="M36" s="2"/>
      <c r="N36" s="19">
        <f t="shared" si="14"/>
        <v>0</v>
      </c>
      <c r="O36" s="11"/>
      <c r="P36" s="2">
        <v>1025729.36</v>
      </c>
      <c r="Q36" s="2"/>
      <c r="R36" s="19">
        <f t="shared" si="15"/>
        <v>0.91384942505397448</v>
      </c>
      <c r="S36" s="2"/>
      <c r="T36" s="2">
        <v>0</v>
      </c>
      <c r="U36" s="2"/>
      <c r="V36" s="19">
        <f t="shared" si="16"/>
        <v>0</v>
      </c>
      <c r="W36" s="2"/>
      <c r="X36" s="2">
        <f t="shared" si="17"/>
        <v>1025729.36</v>
      </c>
      <c r="Y36" s="2"/>
      <c r="Z36" s="19">
        <f t="shared" si="18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1"/>
        <v>0</v>
      </c>
      <c r="G37" s="2"/>
      <c r="H37" s="2">
        <v>313.26</v>
      </c>
      <c r="I37" s="2"/>
      <c r="J37" s="19">
        <f t="shared" si="12"/>
        <v>2.4247667092828868E-3</v>
      </c>
      <c r="K37" s="2"/>
      <c r="L37" s="2">
        <f t="shared" si="13"/>
        <v>-313.26</v>
      </c>
      <c r="M37" s="2"/>
      <c r="N37" s="19">
        <f t="shared" si="14"/>
        <v>-1</v>
      </c>
      <c r="O37" s="11"/>
      <c r="P37" s="2">
        <v>0</v>
      </c>
      <c r="Q37" s="2"/>
      <c r="R37" s="19">
        <f t="shared" si="15"/>
        <v>0</v>
      </c>
      <c r="S37" s="2"/>
      <c r="T37" s="2">
        <v>25573.77</v>
      </c>
      <c r="U37" s="2"/>
      <c r="V37" s="19">
        <f t="shared" si="16"/>
        <v>1.8207980422977027E-2</v>
      </c>
      <c r="W37" s="2"/>
      <c r="X37" s="2">
        <f t="shared" si="17"/>
        <v>-25573.77</v>
      </c>
      <c r="Y37" s="2"/>
      <c r="Z37" s="19">
        <f t="shared" si="18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-6938.92</v>
      </c>
      <c r="E38" s="2"/>
      <c r="F38" s="19">
        <f t="shared" si="11"/>
        <v>-4.4543845605232592E-2</v>
      </c>
      <c r="G38" s="2"/>
      <c r="H38" s="2">
        <v>98264.71</v>
      </c>
      <c r="I38" s="2"/>
      <c r="J38" s="19">
        <f t="shared" si="12"/>
        <v>0.76061098609888655</v>
      </c>
      <c r="K38" s="2"/>
      <c r="L38" s="2">
        <f t="shared" si="13"/>
        <v>-105203.63</v>
      </c>
      <c r="M38" s="2"/>
      <c r="N38" s="19">
        <f t="shared" si="14"/>
        <v>-1.0706145675288716</v>
      </c>
      <c r="O38" s="11"/>
      <c r="P38" s="2">
        <v>-93808.4</v>
      </c>
      <c r="Q38" s="2"/>
      <c r="R38" s="19">
        <f t="shared" si="15"/>
        <v>-8.3576385495325256E-2</v>
      </c>
      <c r="S38" s="2"/>
      <c r="T38" s="2">
        <v>1079201.53</v>
      </c>
      <c r="U38" s="2"/>
      <c r="V38" s="19">
        <f t="shared" si="16"/>
        <v>0.76836854052753478</v>
      </c>
      <c r="W38" s="2"/>
      <c r="X38" s="2">
        <f t="shared" si="17"/>
        <v>-1173009.93</v>
      </c>
      <c r="Y38" s="2"/>
      <c r="Z38" s="19">
        <f t="shared" si="18"/>
        <v>-1.0869238945574882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1"/>
        <v>0</v>
      </c>
      <c r="G39" s="2"/>
      <c r="H39" s="2">
        <v>8829.83</v>
      </c>
      <c r="I39" s="2"/>
      <c r="J39" s="19">
        <f t="shared" si="12"/>
        <v>6.8346669963057244E-2</v>
      </c>
      <c r="K39" s="2"/>
      <c r="L39" s="2">
        <f t="shared" si="13"/>
        <v>-8829.83</v>
      </c>
      <c r="M39" s="2"/>
      <c r="N39" s="19">
        <f t="shared" si="14"/>
        <v>-1</v>
      </c>
      <c r="O39" s="11"/>
      <c r="P39" s="2">
        <v>0</v>
      </c>
      <c r="Q39" s="2"/>
      <c r="R39" s="19">
        <f t="shared" si="15"/>
        <v>0</v>
      </c>
      <c r="S39" s="2"/>
      <c r="T39" s="2">
        <v>90556.67</v>
      </c>
      <c r="U39" s="2"/>
      <c r="V39" s="19">
        <f t="shared" si="16"/>
        <v>6.4474423384975735E-2</v>
      </c>
      <c r="W39" s="2"/>
      <c r="X39" s="2">
        <f t="shared" si="17"/>
        <v>-90556.67</v>
      </c>
      <c r="Y39" s="2"/>
      <c r="Z39" s="19">
        <f t="shared" si="18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1"/>
        <v>0</v>
      </c>
      <c r="G40" s="2"/>
      <c r="H40" s="2">
        <v>4174.1400000000003</v>
      </c>
      <c r="I40" s="2"/>
      <c r="J40" s="19">
        <f t="shared" si="12"/>
        <v>3.2309633249971492E-2</v>
      </c>
      <c r="K40" s="2"/>
      <c r="L40" s="2">
        <f t="shared" si="13"/>
        <v>-4174.1400000000003</v>
      </c>
      <c r="M40" s="2"/>
      <c r="N40" s="19">
        <f t="shared" si="14"/>
        <v>-1</v>
      </c>
      <c r="O40" s="11"/>
      <c r="P40" s="2">
        <v>0</v>
      </c>
      <c r="Q40" s="2"/>
      <c r="R40" s="19">
        <f t="shared" si="15"/>
        <v>0</v>
      </c>
      <c r="S40" s="2"/>
      <c r="T40" s="2">
        <v>28746.22</v>
      </c>
      <c r="U40" s="2"/>
      <c r="V40" s="19">
        <f t="shared" si="16"/>
        <v>2.0466697361968558E-2</v>
      </c>
      <c r="W40" s="2"/>
      <c r="X40" s="2">
        <f t="shared" si="17"/>
        <v>-28746.22</v>
      </c>
      <c r="Y40" s="2"/>
      <c r="Z40" s="19">
        <f t="shared" si="18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1"/>
        <v>0</v>
      </c>
      <c r="G41" s="2"/>
      <c r="H41" s="2">
        <v>21.24</v>
      </c>
      <c r="I41" s="2"/>
      <c r="J41" s="19">
        <f t="shared" si="12"/>
        <v>1.644067065861218E-4</v>
      </c>
      <c r="K41" s="2"/>
      <c r="L41" s="2">
        <f t="shared" si="13"/>
        <v>-21.24</v>
      </c>
      <c r="M41" s="2"/>
      <c r="N41" s="19">
        <f t="shared" si="14"/>
        <v>-1</v>
      </c>
      <c r="O41" s="11"/>
      <c r="P41" s="2">
        <v>0</v>
      </c>
      <c r="Q41" s="2"/>
      <c r="R41" s="19">
        <f t="shared" si="15"/>
        <v>0</v>
      </c>
      <c r="S41" s="2"/>
      <c r="T41" s="2">
        <v>22739.85</v>
      </c>
      <c r="U41" s="2"/>
      <c r="V41" s="19">
        <f t="shared" si="16"/>
        <v>1.6190289645266774E-2</v>
      </c>
      <c r="W41" s="2"/>
      <c r="X41" s="2">
        <f t="shared" si="17"/>
        <v>-22739.85</v>
      </c>
      <c r="Y41" s="2"/>
      <c r="Z41" s="19">
        <f t="shared" si="18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-98515.33</v>
      </c>
      <c r="E42" s="2"/>
      <c r="F42" s="19">
        <f t="shared" si="11"/>
        <v>-0.63241133335858302</v>
      </c>
      <c r="G42" s="2"/>
      <c r="H42" s="2">
        <v>-111613.24</v>
      </c>
      <c r="I42" s="2"/>
      <c r="J42" s="19">
        <f t="shared" si="12"/>
        <v>-0.86393433144097909</v>
      </c>
      <c r="K42" s="2"/>
      <c r="L42" s="2">
        <f t="shared" si="13"/>
        <v>13097.910000000003</v>
      </c>
      <c r="M42" s="2"/>
      <c r="N42" s="19">
        <f t="shared" si="14"/>
        <v>-0.11735086267543172</v>
      </c>
      <c r="O42" s="11"/>
      <c r="P42" s="2">
        <v>-1025797.7</v>
      </c>
      <c r="Q42" s="2"/>
      <c r="R42" s="19">
        <f t="shared" si="15"/>
        <v>-0.91391031096807973</v>
      </c>
      <c r="S42" s="2"/>
      <c r="T42" s="2">
        <v>-1243263.78</v>
      </c>
      <c r="U42" s="2"/>
      <c r="V42" s="19">
        <f t="shared" si="16"/>
        <v>-0.88517737380278372</v>
      </c>
      <c r="W42" s="2"/>
      <c r="X42" s="2">
        <f t="shared" si="17"/>
        <v>217466.08000000007</v>
      </c>
      <c r="Y42" s="2"/>
      <c r="Z42" s="19">
        <f t="shared" si="18"/>
        <v>-0.1749154793200845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138754.45000000001</v>
      </c>
      <c r="E43" s="2"/>
      <c r="F43" s="19">
        <f t="shared" si="11"/>
        <v>0.89072316698260912</v>
      </c>
      <c r="G43" s="2"/>
      <c r="H43" s="2">
        <v>110569</v>
      </c>
      <c r="I43" s="2"/>
      <c r="J43" s="19">
        <f t="shared" si="12"/>
        <v>0.85585146612621954</v>
      </c>
      <c r="K43" s="2"/>
      <c r="L43" s="2">
        <f t="shared" si="13"/>
        <v>28185.450000000012</v>
      </c>
      <c r="M43" s="2"/>
      <c r="N43" s="19">
        <f t="shared" si="14"/>
        <v>0.25491276940191204</v>
      </c>
      <c r="O43" s="11"/>
      <c r="P43" s="2">
        <v>1048116.16</v>
      </c>
      <c r="Q43" s="2"/>
      <c r="R43" s="19">
        <f t="shared" si="15"/>
        <v>0.93379441747263581</v>
      </c>
      <c r="S43" s="2"/>
      <c r="T43" s="2">
        <v>1322590</v>
      </c>
      <c r="U43" s="2"/>
      <c r="V43" s="19">
        <f t="shared" si="16"/>
        <v>0.94165595559924031</v>
      </c>
      <c r="W43" s="2"/>
      <c r="X43" s="2">
        <f t="shared" si="17"/>
        <v>-274473.83999999997</v>
      </c>
      <c r="Y43" s="2"/>
      <c r="Z43" s="19">
        <f t="shared" si="18"/>
        <v>-0.20752753309793659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>
        <v>24.15</v>
      </c>
      <c r="E44" s="2"/>
      <c r="F44" s="19">
        <f t="shared" si="11"/>
        <v>1.5502900615173068E-4</v>
      </c>
      <c r="G44" s="2"/>
      <c r="H44" s="2"/>
      <c r="I44" s="2"/>
      <c r="J44" s="19">
        <f t="shared" si="12"/>
        <v>0</v>
      </c>
      <c r="K44" s="2"/>
      <c r="L44" s="2">
        <f t="shared" si="13"/>
        <v>24.15</v>
      </c>
      <c r="M44" s="2"/>
      <c r="N44" s="19">
        <f t="shared" si="14"/>
        <v>0</v>
      </c>
      <c r="O44" s="11"/>
      <c r="P44" s="2">
        <v>68.34</v>
      </c>
      <c r="Q44" s="2"/>
      <c r="R44" s="19">
        <f t="shared" si="15"/>
        <v>6.0885914105245678E-5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68.34</v>
      </c>
      <c r="Y44" s="2"/>
      <c r="Z44" s="19">
        <f t="shared" si="18"/>
        <v>0</v>
      </c>
    </row>
    <row r="45" spans="1:26" s="24" customFormat="1" hidden="1" outlineLevel="1" x14ac:dyDescent="0.3">
      <c r="A45" s="44"/>
      <c r="B45" s="11" t="str">
        <f>CONCATENATE("          ", "5581", " - ", "FREIGHT-IN-ELECTRONICS")</f>
        <v xml:space="preserve">          5581 - FREIGHT-IN-ELECTRONICS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/>
      <c r="Q45" s="2"/>
      <c r="R45" s="19">
        <f t="shared" si="15"/>
        <v>0</v>
      </c>
      <c r="S45" s="2"/>
      <c r="T45" s="2">
        <v>31</v>
      </c>
      <c r="U45" s="2"/>
      <c r="V45" s="19">
        <f t="shared" si="16"/>
        <v>2.2071340796147293E-5</v>
      </c>
      <c r="W45" s="2"/>
      <c r="X45" s="2">
        <f t="shared" si="17"/>
        <v>-31</v>
      </c>
      <c r="Y45" s="2"/>
      <c r="Z45" s="19">
        <f t="shared" si="18"/>
        <v>-1</v>
      </c>
    </row>
    <row r="46" spans="1:26" s="24" customFormat="1" hidden="1" outlineLevel="1" x14ac:dyDescent="0.3">
      <c r="A46" s="44"/>
      <c r="B46" s="11" t="str">
        <f>CONCATENATE("          ", "5582", " - ", "FREIGHT-IN-COMPUTER HARDWARE")</f>
        <v xml:space="preserve">          5582 - FREIGHT-IN-COMPUTER HARDWARE</v>
      </c>
      <c r="C46" s="11"/>
      <c r="D46" s="2"/>
      <c r="E46" s="2"/>
      <c r="F46" s="19">
        <f t="shared" si="11"/>
        <v>0</v>
      </c>
      <c r="G46" s="2"/>
      <c r="H46" s="2"/>
      <c r="I46" s="2"/>
      <c r="J46" s="19">
        <f t="shared" si="12"/>
        <v>0</v>
      </c>
      <c r="K46" s="2"/>
      <c r="L46" s="2">
        <f t="shared" si="13"/>
        <v>0</v>
      </c>
      <c r="M46" s="2"/>
      <c r="N46" s="19">
        <f t="shared" si="14"/>
        <v>0</v>
      </c>
      <c r="O46" s="11"/>
      <c r="P46" s="2"/>
      <c r="Q46" s="2"/>
      <c r="R46" s="19">
        <f t="shared" si="15"/>
        <v>0</v>
      </c>
      <c r="S46" s="2"/>
      <c r="T46" s="2">
        <v>94</v>
      </c>
      <c r="U46" s="2"/>
      <c r="V46" s="19">
        <f t="shared" si="16"/>
        <v>6.6926001123801467E-5</v>
      </c>
      <c r="W46" s="2"/>
      <c r="X46" s="2">
        <f t="shared" si="17"/>
        <v>-94</v>
      </c>
      <c r="Y46" s="2"/>
      <c r="Z46" s="19">
        <f t="shared" si="18"/>
        <v>-1</v>
      </c>
    </row>
    <row r="47" spans="1:26" s="24" customFormat="1" hidden="1" outlineLevel="1" x14ac:dyDescent="0.3">
      <c r="A47" s="44"/>
      <c r="B47" s="11" t="str">
        <f>CONCATENATE("          ", "5583", " - ", "FREIGHT-IN-COMPUTER EQUIPMENT")</f>
        <v xml:space="preserve">          5583 - FREIGHT-IN-COMPUTER EQUIPMENT</v>
      </c>
      <c r="C47" s="11"/>
      <c r="D47" s="2"/>
      <c r="E47" s="2"/>
      <c r="F47" s="19">
        <f t="shared" si="11"/>
        <v>0</v>
      </c>
      <c r="G47" s="2"/>
      <c r="H47" s="2">
        <v>10.06</v>
      </c>
      <c r="I47" s="2"/>
      <c r="J47" s="19">
        <f t="shared" si="12"/>
        <v>7.7868713194745076E-5</v>
      </c>
      <c r="K47" s="2"/>
      <c r="L47" s="2">
        <f t="shared" si="13"/>
        <v>-10.06</v>
      </c>
      <c r="M47" s="2"/>
      <c r="N47" s="19">
        <f t="shared" si="14"/>
        <v>-1</v>
      </c>
      <c r="O47" s="11"/>
      <c r="P47" s="2">
        <v>0</v>
      </c>
      <c r="Q47" s="2"/>
      <c r="R47" s="19">
        <f t="shared" si="15"/>
        <v>0</v>
      </c>
      <c r="S47" s="2"/>
      <c r="T47" s="2">
        <v>242.46</v>
      </c>
      <c r="U47" s="2"/>
      <c r="V47" s="19">
        <f t="shared" si="16"/>
        <v>1.7262636417528622E-4</v>
      </c>
      <c r="W47" s="2"/>
      <c r="X47" s="2">
        <f t="shared" si="17"/>
        <v>-242.46</v>
      </c>
      <c r="Y47" s="2"/>
      <c r="Z47" s="19">
        <f t="shared" si="18"/>
        <v>-1</v>
      </c>
    </row>
    <row r="48" spans="1:26" s="24" customFormat="1" hidden="1" outlineLevel="1" x14ac:dyDescent="0.3">
      <c r="A48" s="44"/>
      <c r="B48" s="11" t="str">
        <f>CONCATENATE("          ", "5586", " - ", "FREIGHT-IN-COMPUTER SUPPLIES")</f>
        <v xml:space="preserve">          5586 - FREIGHT-IN-COMPUTER SUPPLIES</v>
      </c>
      <c r="C48" s="11"/>
      <c r="D48" s="2"/>
      <c r="E48" s="2"/>
      <c r="F48" s="19">
        <f t="shared" si="11"/>
        <v>0</v>
      </c>
      <c r="G48" s="2"/>
      <c r="H48" s="2"/>
      <c r="I48" s="2"/>
      <c r="J48" s="19">
        <f t="shared" si="12"/>
        <v>0</v>
      </c>
      <c r="K48" s="2"/>
      <c r="L48" s="2">
        <f t="shared" si="13"/>
        <v>0</v>
      </c>
      <c r="M48" s="2"/>
      <c r="N48" s="19">
        <f t="shared" si="14"/>
        <v>0</v>
      </c>
      <c r="O48" s="11"/>
      <c r="P48" s="2"/>
      <c r="Q48" s="2"/>
      <c r="R48" s="19">
        <f t="shared" si="15"/>
        <v>0</v>
      </c>
      <c r="S48" s="2"/>
      <c r="T48" s="2">
        <v>24.12</v>
      </c>
      <c r="U48" s="2"/>
      <c r="V48" s="19">
        <f t="shared" si="16"/>
        <v>1.7172927096873315E-5</v>
      </c>
      <c r="W48" s="2"/>
      <c r="X48" s="2">
        <f t="shared" si="17"/>
        <v>-24.12</v>
      </c>
      <c r="Y48" s="2"/>
      <c r="Z48" s="19">
        <f t="shared" si="18"/>
        <v>-1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5" t="s">
        <v>107</v>
      </c>
      <c r="C50" s="25"/>
      <c r="D50" s="21">
        <f>D12-D35</f>
        <v>23961.770000000019</v>
      </c>
      <c r="E50" s="13"/>
      <c r="F50" s="22">
        <f>IF(D$12=0,0,D50/D$12)</f>
        <v>0.15382067862262355</v>
      </c>
      <c r="G50" s="13"/>
      <c r="H50" s="21">
        <f>H12-H35</f>
        <v>18622.810000000012</v>
      </c>
      <c r="I50" s="13"/>
      <c r="J50" s="22">
        <f>IF(H$12=0,0,H50/H$12)</f>
        <v>0.14414853387378046</v>
      </c>
      <c r="K50" s="15"/>
      <c r="L50" s="21">
        <f>+D50-H50</f>
        <v>5338.9600000000064</v>
      </c>
      <c r="M50" s="15"/>
      <c r="N50" s="22">
        <f>IF(H50=0,0,L50/H50)</f>
        <v>0.28668928051137305</v>
      </c>
      <c r="O50" s="26"/>
      <c r="P50" s="21">
        <f>P12-P35</f>
        <v>168119.34000000008</v>
      </c>
      <c r="Q50" s="13"/>
      <c r="R50" s="22">
        <f>IF(P$12=0,0,P50/P$12)</f>
        <v>0.14978196802268948</v>
      </c>
      <c r="S50" s="13"/>
      <c r="T50" s="21">
        <f>T12-T35</f>
        <v>78000.489999999991</v>
      </c>
      <c r="U50" s="13"/>
      <c r="V50" s="22">
        <f>IF(T$12=0,0,T50/T$12)</f>
        <v>5.5534690227628351E-2</v>
      </c>
      <c r="W50" s="15"/>
      <c r="X50" s="21">
        <f>+P50-T50</f>
        <v>90118.850000000093</v>
      </c>
      <c r="Y50" s="15"/>
      <c r="Z50" s="22">
        <f>IF(T50=0,0,X50/T50)</f>
        <v>1.1553626137476842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6" t="s">
        <v>294</v>
      </c>
      <c r="C52" s="10"/>
      <c r="D52" s="20">
        <f>SUM(OSRRefD22x_0)</f>
        <v>15488.850000000002</v>
      </c>
      <c r="E52" s="20"/>
      <c r="F52" s="30">
        <f t="shared" ref="F52:F62" si="19">IF(D$12=0,0,D52/D$12)</f>
        <v>9.9429441901997276E-2</v>
      </c>
      <c r="G52" s="20"/>
      <c r="H52" s="20">
        <f>SUM(OSRRefH22x_0)</f>
        <v>14258.260000000002</v>
      </c>
      <c r="I52" s="20"/>
      <c r="J52" s="30">
        <f t="shared" ref="J52:J62" si="20">IF(H$12=0,0,H52/H$12)</f>
        <v>0.11036504558609404</v>
      </c>
      <c r="K52" s="4"/>
      <c r="L52" s="20">
        <f t="shared" ref="L52:L62" si="21">+D52-H52</f>
        <v>1230.5900000000001</v>
      </c>
      <c r="M52" s="4"/>
      <c r="N52" s="30">
        <f t="shared" ref="N52:N62" si="22">IF(H52=0,0,L52/H52)</f>
        <v>8.6307165109908213E-2</v>
      </c>
      <c r="O52" s="10"/>
      <c r="P52" s="20">
        <f>SUM(OSRRefP22x_0)</f>
        <v>99897.400000000023</v>
      </c>
      <c r="Q52" s="20"/>
      <c r="R52" s="30">
        <f t="shared" ref="R52:R62" si="23">IF(P$12=0,0,P52/P$12)</f>
        <v>8.9001236695015667E-2</v>
      </c>
      <c r="S52" s="20"/>
      <c r="T52" s="20">
        <f>SUM(OSRRefT22x_0)</f>
        <v>94484.69</v>
      </c>
      <c r="U52" s="20"/>
      <c r="V52" s="30">
        <f t="shared" ref="V52:V62" si="24">IF(T$12=0,0,T52/T$12)</f>
        <v>6.7271090097042907E-2</v>
      </c>
      <c r="W52" s="4"/>
      <c r="X52" s="20">
        <f t="shared" ref="X52:X62" si="25">+P52-T52</f>
        <v>5412.710000000021</v>
      </c>
      <c r="Y52" s="4"/>
      <c r="Z52" s="30">
        <f t="shared" ref="Z52:Z62" si="26">IF(T52=0,0,X52/T52)</f>
        <v>5.7286635538519738E-2</v>
      </c>
    </row>
    <row r="53" spans="1:26" s="29" customFormat="1" outlineLevel="1" collapsed="1" x14ac:dyDescent="0.3">
      <c r="A53" s="28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3506.3399999999997</v>
      </c>
      <c r="E53" s="1"/>
      <c r="F53" s="5">
        <f t="shared" si="19"/>
        <v>2.2508671032300594E-2</v>
      </c>
      <c r="G53" s="1"/>
      <c r="H53" s="1">
        <f>SUM(OSRRefH22_0x_0)</f>
        <v>2747.9300000000003</v>
      </c>
      <c r="I53" s="1"/>
      <c r="J53" s="5">
        <f t="shared" si="20"/>
        <v>2.1270156366723247E-2</v>
      </c>
      <c r="K53" s="1"/>
      <c r="L53" s="1">
        <f t="shared" si="21"/>
        <v>758.4099999999994</v>
      </c>
      <c r="M53" s="1"/>
      <c r="N53" s="5">
        <f t="shared" si="22"/>
        <v>0.27599320215580431</v>
      </c>
      <c r="O53" s="14"/>
      <c r="P53" s="1">
        <f>SUM(OSRRefP22_0x_0)</f>
        <v>14809.55</v>
      </c>
      <c r="Q53" s="1"/>
      <c r="R53" s="5">
        <f t="shared" si="23"/>
        <v>1.3194219918603175E-2</v>
      </c>
      <c r="S53" s="1"/>
      <c r="T53" s="1">
        <f>SUM(OSRRefT22_0x_0)</f>
        <v>20566.809999999998</v>
      </c>
      <c r="U53" s="1"/>
      <c r="V53" s="5">
        <f t="shared" si="24"/>
        <v>1.4643131374180969E-2</v>
      </c>
      <c r="W53" s="1"/>
      <c r="X53" s="1">
        <f t="shared" si="25"/>
        <v>-5757.2599999999984</v>
      </c>
      <c r="Y53" s="1"/>
      <c r="Z53" s="5">
        <f t="shared" si="26"/>
        <v>-0.27992965365071193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7">
        <v>460.4</v>
      </c>
      <c r="E54" s="2"/>
      <c r="F54" s="6">
        <f t="shared" si="19"/>
        <v>2.9555012187269898E-3</v>
      </c>
      <c r="G54" s="2"/>
      <c r="H54" s="7">
        <v>449.24</v>
      </c>
      <c r="I54" s="2"/>
      <c r="J54" s="6">
        <f t="shared" si="20"/>
        <v>3.4773102102989345E-3</v>
      </c>
      <c r="K54" s="2"/>
      <c r="L54" s="7">
        <f t="shared" si="21"/>
        <v>11.159999999999968</v>
      </c>
      <c r="M54" s="2"/>
      <c r="N54" s="6">
        <f t="shared" si="22"/>
        <v>2.4841955302288238E-2</v>
      </c>
      <c r="O54" s="11"/>
      <c r="P54" s="7">
        <v>3764.31</v>
      </c>
      <c r="Q54" s="2"/>
      <c r="R54" s="6">
        <f t="shared" si="23"/>
        <v>3.353723373215062E-3</v>
      </c>
      <c r="S54" s="2"/>
      <c r="T54" s="7">
        <v>3839.6</v>
      </c>
      <c r="U54" s="2"/>
      <c r="V54" s="6">
        <f t="shared" si="24"/>
        <v>2.7337135522866821E-3</v>
      </c>
      <c r="W54" s="2"/>
      <c r="X54" s="7">
        <f t="shared" si="25"/>
        <v>-75.289999999999964</v>
      </c>
      <c r="Y54" s="2"/>
      <c r="Z54" s="6">
        <f t="shared" si="26"/>
        <v>-1.9608813418064374E-2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122.11</v>
      </c>
      <c r="E55" s="2"/>
      <c r="F55" s="6">
        <f t="shared" si="19"/>
        <v>7.8387544269928919E-4</v>
      </c>
      <c r="G55" s="2"/>
      <c r="H55" s="7">
        <v>46.19</v>
      </c>
      <c r="I55" s="2"/>
      <c r="J55" s="6">
        <f t="shared" si="20"/>
        <v>3.5753040382358595E-4</v>
      </c>
      <c r="K55" s="2"/>
      <c r="L55" s="7">
        <f t="shared" si="21"/>
        <v>75.92</v>
      </c>
      <c r="M55" s="2"/>
      <c r="N55" s="6">
        <f t="shared" si="22"/>
        <v>1.6436458107815546</v>
      </c>
      <c r="O55" s="11"/>
      <c r="P55" s="7">
        <v>999.03</v>
      </c>
      <c r="Q55" s="2"/>
      <c r="R55" s="6">
        <f t="shared" si="23"/>
        <v>8.9006225883177617E-4</v>
      </c>
      <c r="S55" s="2"/>
      <c r="T55" s="7">
        <v>1028.72</v>
      </c>
      <c r="U55" s="2"/>
      <c r="V55" s="6">
        <f t="shared" si="24"/>
        <v>7.3242676463911754E-4</v>
      </c>
      <c r="W55" s="2"/>
      <c r="X55" s="7">
        <f t="shared" si="25"/>
        <v>-29.690000000000055</v>
      </c>
      <c r="Y55" s="2"/>
      <c r="Z55" s="6">
        <f t="shared" si="26"/>
        <v>-2.8861108950929363E-2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7">
        <v>1539.12</v>
      </c>
      <c r="E56" s="2"/>
      <c r="F56" s="6">
        <f t="shared" si="19"/>
        <v>9.8802585485818512E-3</v>
      </c>
      <c r="G56" s="2"/>
      <c r="H56" s="7">
        <v>1053.8499999999999</v>
      </c>
      <c r="I56" s="2"/>
      <c r="J56" s="6">
        <f t="shared" si="20"/>
        <v>8.1572508350181011E-3</v>
      </c>
      <c r="K56" s="2"/>
      <c r="L56" s="7">
        <f t="shared" si="21"/>
        <v>485.27</v>
      </c>
      <c r="M56" s="2"/>
      <c r="N56" s="6">
        <f t="shared" si="22"/>
        <v>0.46047350192152586</v>
      </c>
      <c r="O56" s="11"/>
      <c r="P56" s="7">
        <v>5289.53</v>
      </c>
      <c r="Q56" s="2"/>
      <c r="R56" s="6">
        <f t="shared" si="23"/>
        <v>4.7125822247164198E-3</v>
      </c>
      <c r="S56" s="2"/>
      <c r="T56" s="7">
        <v>7268.63</v>
      </c>
      <c r="U56" s="2"/>
      <c r="V56" s="6">
        <f t="shared" si="24"/>
        <v>5.1751099951967781E-3</v>
      </c>
      <c r="W56" s="2"/>
      <c r="X56" s="7">
        <f t="shared" si="25"/>
        <v>-1979.1000000000004</v>
      </c>
      <c r="Y56" s="2"/>
      <c r="Z56" s="6">
        <f t="shared" si="26"/>
        <v>-0.27227964554530915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21.45</v>
      </c>
      <c r="E57" s="2"/>
      <c r="F57" s="6">
        <f t="shared" si="19"/>
        <v>1.3769657068135087E-4</v>
      </c>
      <c r="G57" s="2"/>
      <c r="H57" s="7">
        <v>42.59</v>
      </c>
      <c r="I57" s="2"/>
      <c r="J57" s="6">
        <f t="shared" si="20"/>
        <v>3.2966486033441284E-4</v>
      </c>
      <c r="K57" s="2"/>
      <c r="L57" s="7">
        <f t="shared" si="21"/>
        <v>-21.140000000000004</v>
      </c>
      <c r="M57" s="2"/>
      <c r="N57" s="6">
        <f t="shared" si="22"/>
        <v>-0.49636064803944596</v>
      </c>
      <c r="O57" s="11"/>
      <c r="P57" s="7">
        <v>175.51</v>
      </c>
      <c r="Q57" s="2"/>
      <c r="R57" s="6">
        <f t="shared" si="23"/>
        <v>1.5636650255504341E-4</v>
      </c>
      <c r="S57" s="2"/>
      <c r="T57" s="7">
        <v>159.28</v>
      </c>
      <c r="U57" s="2"/>
      <c r="V57" s="6">
        <f t="shared" si="24"/>
        <v>1.1340397296807552E-4</v>
      </c>
      <c r="W57" s="2"/>
      <c r="X57" s="7">
        <f t="shared" si="25"/>
        <v>16.22999999999999</v>
      </c>
      <c r="Y57" s="2"/>
      <c r="Z57" s="6">
        <f t="shared" si="26"/>
        <v>0.10189603214465086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7">
        <v>103.22</v>
      </c>
      <c r="E58" s="2"/>
      <c r="F58" s="6">
        <f t="shared" si="19"/>
        <v>6.6261258861207621E-4</v>
      </c>
      <c r="G58" s="2"/>
      <c r="H58" s="7">
        <v>264.63</v>
      </c>
      <c r="I58" s="2"/>
      <c r="J58" s="6">
        <f t="shared" si="20"/>
        <v>2.0483496593166391E-3</v>
      </c>
      <c r="K58" s="2"/>
      <c r="L58" s="7">
        <f t="shared" si="21"/>
        <v>-161.41</v>
      </c>
      <c r="M58" s="2"/>
      <c r="N58" s="6">
        <f t="shared" si="22"/>
        <v>-0.60994596228696674</v>
      </c>
      <c r="O58" s="11"/>
      <c r="P58" s="7">
        <v>790.94</v>
      </c>
      <c r="Q58" s="2"/>
      <c r="R58" s="6">
        <f t="shared" si="23"/>
        <v>7.046693722915279E-4</v>
      </c>
      <c r="S58" s="2"/>
      <c r="T58" s="7">
        <v>1411.36</v>
      </c>
      <c r="U58" s="2"/>
      <c r="V58" s="6">
        <f t="shared" si="24"/>
        <v>1.0048583079371111E-3</v>
      </c>
      <c r="W58" s="2"/>
      <c r="X58" s="7">
        <f t="shared" si="25"/>
        <v>-620.41999999999985</v>
      </c>
      <c r="Y58" s="2"/>
      <c r="Z58" s="6">
        <f t="shared" si="26"/>
        <v>-0.43959018251898868</v>
      </c>
    </row>
    <row r="59" spans="1:26" s="24" customFormat="1" hidden="1" outlineLevel="2" x14ac:dyDescent="0.3">
      <c r="A59" s="27"/>
      <c r="B59" s="11" t="str">
        <f>CONCATENATE("          ", "6117", " - ", "RETIREMENT STAFF HOURLY")</f>
        <v xml:space="preserve">          6117 - RETIREMENT STAFF HOURLY</v>
      </c>
      <c r="C59" s="11"/>
      <c r="D59" s="7">
        <v>180</v>
      </c>
      <c r="E59" s="2"/>
      <c r="F59" s="6">
        <f t="shared" si="19"/>
        <v>1.1554956980253219E-3</v>
      </c>
      <c r="G59" s="2"/>
      <c r="H59" s="7">
        <v>176</v>
      </c>
      <c r="I59" s="2"/>
      <c r="J59" s="6">
        <f t="shared" si="20"/>
        <v>1.3623154594706892E-3</v>
      </c>
      <c r="K59" s="2"/>
      <c r="L59" s="7">
        <f t="shared" si="21"/>
        <v>4</v>
      </c>
      <c r="M59" s="2"/>
      <c r="N59" s="6">
        <f t="shared" si="22"/>
        <v>2.2727272727272728E-2</v>
      </c>
      <c r="O59" s="11"/>
      <c r="P59" s="7">
        <v>-237.34</v>
      </c>
      <c r="Q59" s="2"/>
      <c r="R59" s="6">
        <f t="shared" si="23"/>
        <v>-2.114524854219931E-4</v>
      </c>
      <c r="S59" s="2"/>
      <c r="T59" s="7">
        <v>1281.04</v>
      </c>
      <c r="U59" s="2"/>
      <c r="V59" s="6">
        <f t="shared" si="24"/>
        <v>9.1207323914504926E-4</v>
      </c>
      <c r="W59" s="2"/>
      <c r="X59" s="7">
        <f t="shared" si="25"/>
        <v>-1518.3799999999999</v>
      </c>
      <c r="Y59" s="2"/>
      <c r="Z59" s="6">
        <f t="shared" si="26"/>
        <v>-1.1852713420345968</v>
      </c>
    </row>
    <row r="60" spans="1:26" s="24" customFormat="1" hidden="1" outlineLevel="2" x14ac:dyDescent="0.3">
      <c r="A60" s="27"/>
      <c r="B60" s="11" t="str">
        <f>CONCATENATE("          ", "6118", " - ", "VACATION")</f>
        <v xml:space="preserve">          6118 - VACATION</v>
      </c>
      <c r="C60" s="11"/>
      <c r="D60" s="7">
        <v>359.95</v>
      </c>
      <c r="E60" s="2"/>
      <c r="F60" s="6">
        <f t="shared" si="19"/>
        <v>2.3106704250234144E-3</v>
      </c>
      <c r="G60" s="2"/>
      <c r="H60" s="7">
        <v>267.04000000000002</v>
      </c>
      <c r="I60" s="2"/>
      <c r="J60" s="6">
        <f t="shared" si="20"/>
        <v>2.0670040925968914E-3</v>
      </c>
      <c r="K60" s="2"/>
      <c r="L60" s="7">
        <f t="shared" si="21"/>
        <v>92.909999999999968</v>
      </c>
      <c r="M60" s="2"/>
      <c r="N60" s="6">
        <f t="shared" si="22"/>
        <v>0.34792540443379255</v>
      </c>
      <c r="O60" s="11"/>
      <c r="P60" s="7">
        <v>1375.42</v>
      </c>
      <c r="Q60" s="2"/>
      <c r="R60" s="6">
        <f t="shared" si="23"/>
        <v>1.225398068168525E-3</v>
      </c>
      <c r="S60" s="2"/>
      <c r="T60" s="7">
        <v>1956.58</v>
      </c>
      <c r="U60" s="2"/>
      <c r="V60" s="6">
        <f t="shared" si="24"/>
        <v>1.3930433540298669E-3</v>
      </c>
      <c r="W60" s="2"/>
      <c r="X60" s="7">
        <f t="shared" si="25"/>
        <v>-581.15999999999985</v>
      </c>
      <c r="Y60" s="2"/>
      <c r="Z60" s="6">
        <f t="shared" si="26"/>
        <v>-0.29702848848500951</v>
      </c>
    </row>
    <row r="61" spans="1:26" s="24" customFormat="1" hidden="1" outlineLevel="2" x14ac:dyDescent="0.3">
      <c r="A61" s="27"/>
      <c r="B61" s="11" t="str">
        <f>CONCATENATE("          ", "6119", " - ", "SICK LEAVE")</f>
        <v xml:space="preserve">          6119 - SICK LEAVE</v>
      </c>
      <c r="C61" s="11"/>
      <c r="D61" s="7">
        <v>494.25</v>
      </c>
      <c r="E61" s="2"/>
      <c r="F61" s="6">
        <f t="shared" si="19"/>
        <v>3.1727986041611964E-3</v>
      </c>
      <c r="G61" s="2"/>
      <c r="H61" s="7">
        <v>267.63</v>
      </c>
      <c r="I61" s="2"/>
      <c r="J61" s="6">
        <f t="shared" si="20"/>
        <v>2.0715709455576166E-3</v>
      </c>
      <c r="K61" s="2"/>
      <c r="L61" s="7">
        <f t="shared" si="21"/>
        <v>226.62</v>
      </c>
      <c r="M61" s="2"/>
      <c r="N61" s="6">
        <f t="shared" si="22"/>
        <v>0.84676605761685908</v>
      </c>
      <c r="O61" s="11"/>
      <c r="P61" s="7">
        <v>1541.16</v>
      </c>
      <c r="Q61" s="2"/>
      <c r="R61" s="6">
        <f t="shared" si="23"/>
        <v>1.373060219233837E-3</v>
      </c>
      <c r="S61" s="2"/>
      <c r="T61" s="7">
        <v>1951.92</v>
      </c>
      <c r="U61" s="2"/>
      <c r="V61" s="6">
        <f t="shared" si="24"/>
        <v>1.3897255331230911E-3</v>
      </c>
      <c r="W61" s="2"/>
      <c r="X61" s="7">
        <f t="shared" si="25"/>
        <v>-410.76</v>
      </c>
      <c r="Y61" s="2"/>
      <c r="Z61" s="6">
        <f t="shared" si="26"/>
        <v>-0.21043895241608263</v>
      </c>
    </row>
    <row r="62" spans="1:26" s="24" customFormat="1" hidden="1" outlineLevel="2" x14ac:dyDescent="0.3">
      <c r="A62" s="27"/>
      <c r="B62" s="11" t="str">
        <f>CONCATENATE("          ", "6156", " - ", "EMPLOYEE MEALS")</f>
        <v xml:space="preserve">          6156 - EMPLOYEE MEALS</v>
      </c>
      <c r="C62" s="11"/>
      <c r="D62" s="7">
        <v>225.84</v>
      </c>
      <c r="E62" s="2"/>
      <c r="F62" s="6">
        <f t="shared" si="19"/>
        <v>1.4497619357891039E-3</v>
      </c>
      <c r="G62" s="2"/>
      <c r="H62" s="7">
        <v>180.76</v>
      </c>
      <c r="I62" s="2"/>
      <c r="J62" s="6">
        <f t="shared" si="20"/>
        <v>1.3991599003063738E-3</v>
      </c>
      <c r="K62" s="2"/>
      <c r="L62" s="7">
        <f t="shared" si="21"/>
        <v>45.080000000000013</v>
      </c>
      <c r="M62" s="2"/>
      <c r="N62" s="6">
        <f t="shared" si="22"/>
        <v>0.24939145828723178</v>
      </c>
      <c r="O62" s="11"/>
      <c r="P62" s="7">
        <v>1110.99</v>
      </c>
      <c r="Q62" s="2"/>
      <c r="R62" s="6">
        <f t="shared" si="23"/>
        <v>9.898103850129777E-4</v>
      </c>
      <c r="S62" s="2"/>
      <c r="T62" s="7">
        <v>1669.68</v>
      </c>
      <c r="U62" s="2"/>
      <c r="V62" s="6">
        <f t="shared" si="24"/>
        <v>1.1887766548552006E-3</v>
      </c>
      <c r="W62" s="2"/>
      <c r="X62" s="7">
        <f t="shared" si="25"/>
        <v>-558.69000000000005</v>
      </c>
      <c r="Y62" s="2"/>
      <c r="Z62" s="6">
        <f t="shared" si="26"/>
        <v>-0.33460902687940208</v>
      </c>
    </row>
    <row r="63" spans="1:26" s="29" customFormat="1" outlineLevel="1" collapsed="1" x14ac:dyDescent="0.3">
      <c r="A63" s="28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10489.11</v>
      </c>
      <c r="E63" s="1"/>
      <c r="F63" s="5">
        <f t="shared" ref="F63:F68" si="27">IF(D$12=0,0,D63/D$12)</f>
        <v>6.7334008228413247E-2</v>
      </c>
      <c r="G63" s="1"/>
      <c r="H63" s="1">
        <f>SUM(OSRRefH22_1x_0)</f>
        <v>9963.16</v>
      </c>
      <c r="I63" s="1"/>
      <c r="J63" s="5">
        <f t="shared" ref="J63:J68" si="28">IF(H$12=0,0,H63/H$12)</f>
        <v>7.7119130074886313E-2</v>
      </c>
      <c r="K63" s="1"/>
      <c r="L63" s="1">
        <f t="shared" ref="L63:L68" si="29">+D63-H63</f>
        <v>525.95000000000073</v>
      </c>
      <c r="M63" s="1"/>
      <c r="N63" s="5">
        <f t="shared" ref="N63:N68" si="30">IF(H63=0,0,L63/H63)</f>
        <v>5.2789476431172516E-2</v>
      </c>
      <c r="O63" s="14"/>
      <c r="P63" s="1">
        <f>SUM(OSRRefP22_1x_0)</f>
        <v>71461.740000000005</v>
      </c>
      <c r="Q63" s="1"/>
      <c r="R63" s="5">
        <f t="shared" ref="R63:R68" si="31">IF(P$12=0,0,P63/P$12)</f>
        <v>6.3667154864667827E-2</v>
      </c>
      <c r="S63" s="1"/>
      <c r="T63" s="1">
        <f>SUM(OSRRefT22_1x_0)</f>
        <v>57391.3</v>
      </c>
      <c r="U63" s="1"/>
      <c r="V63" s="5">
        <f t="shared" ref="V63:V68" si="32">IF(T$12=0,0,T63/T$12)</f>
        <v>4.0861385194642844E-2</v>
      </c>
      <c r="W63" s="1"/>
      <c r="X63" s="1">
        <f t="shared" ref="X63:X68" si="33">+P63-T63</f>
        <v>14070.440000000002</v>
      </c>
      <c r="Y63" s="1"/>
      <c r="Z63" s="5">
        <f t="shared" ref="Z63:Z68" si="34">IF(T63=0,0,X63/T63)</f>
        <v>0.24516677614899823</v>
      </c>
    </row>
    <row r="64" spans="1:26" s="24" customFormat="1" hidden="1" outlineLevel="2" x14ac:dyDescent="0.3">
      <c r="A64" s="27"/>
      <c r="B64" s="11" t="str">
        <f>CONCATENATE("          ", "6002", " - ", "STAFF SALARIES")</f>
        <v xml:space="preserve">          6002 - STAFF SALARIES</v>
      </c>
      <c r="C64" s="11"/>
      <c r="D64" s="7">
        <v>1700</v>
      </c>
      <c r="E64" s="2"/>
      <c r="F64" s="6">
        <f t="shared" si="27"/>
        <v>1.0913014925794707E-2</v>
      </c>
      <c r="G64" s="2"/>
      <c r="H64" s="7">
        <v>2928.3</v>
      </c>
      <c r="I64" s="2"/>
      <c r="J64" s="6">
        <f t="shared" si="28"/>
        <v>2.2666297499818293E-2</v>
      </c>
      <c r="K64" s="2"/>
      <c r="L64" s="7">
        <f t="shared" si="29"/>
        <v>-1228.3000000000002</v>
      </c>
      <c r="M64" s="2"/>
      <c r="N64" s="6">
        <f t="shared" si="30"/>
        <v>-0.4194583888262815</v>
      </c>
      <c r="O64" s="11"/>
      <c r="P64" s="7">
        <v>13252.94</v>
      </c>
      <c r="Q64" s="2"/>
      <c r="R64" s="6">
        <f t="shared" si="31"/>
        <v>1.1807394885601032E-2</v>
      </c>
      <c r="S64" s="2"/>
      <c r="T64" s="7">
        <v>16165.65</v>
      </c>
      <c r="U64" s="2"/>
      <c r="V64" s="6">
        <f t="shared" si="32"/>
        <v>1.1509599043265758E-2</v>
      </c>
      <c r="W64" s="2"/>
      <c r="X64" s="7">
        <f t="shared" si="33"/>
        <v>-2912.7099999999991</v>
      </c>
      <c r="Y64" s="2"/>
      <c r="Z64" s="6">
        <f t="shared" si="34"/>
        <v>-0.18017895970777539</v>
      </c>
    </row>
    <row r="65" spans="1:26" s="24" customFormat="1" hidden="1" outlineLevel="2" x14ac:dyDescent="0.3">
      <c r="A65" s="27"/>
      <c r="B65" s="11" t="str">
        <f>CONCATENATE("          ", "6004", " - ", "STAFF HOURLY")</f>
        <v xml:space="preserve">          6004 - STAFF HOURLY</v>
      </c>
      <c r="C65" s="11"/>
      <c r="D65" s="7">
        <v>3151.23</v>
      </c>
      <c r="E65" s="2"/>
      <c r="F65" s="6">
        <f t="shared" si="27"/>
        <v>2.0229070602712975E-2</v>
      </c>
      <c r="G65" s="2"/>
      <c r="H65" s="7">
        <v>3344</v>
      </c>
      <c r="I65" s="2"/>
      <c r="J65" s="6">
        <f t="shared" si="28"/>
        <v>2.5883993729943097E-2</v>
      </c>
      <c r="K65" s="2"/>
      <c r="L65" s="7">
        <f t="shared" si="29"/>
        <v>-192.76999999999998</v>
      </c>
      <c r="M65" s="2"/>
      <c r="N65" s="6">
        <f t="shared" si="30"/>
        <v>-5.7646531100478467E-2</v>
      </c>
      <c r="O65" s="11"/>
      <c r="P65" s="7">
        <v>20893.46</v>
      </c>
      <c r="Q65" s="2"/>
      <c r="R65" s="6">
        <f t="shared" si="31"/>
        <v>1.8614536302624909E-2</v>
      </c>
      <c r="S65" s="2"/>
      <c r="T65" s="7">
        <v>24680.16</v>
      </c>
      <c r="U65" s="2"/>
      <c r="V65" s="6">
        <f t="shared" si="32"/>
        <v>1.7571749105272341E-2</v>
      </c>
      <c r="W65" s="2"/>
      <c r="X65" s="7">
        <f t="shared" si="33"/>
        <v>-3786.7000000000007</v>
      </c>
      <c r="Y65" s="2"/>
      <c r="Z65" s="6">
        <f t="shared" si="34"/>
        <v>-0.15343093399718644</v>
      </c>
    </row>
    <row r="66" spans="1:26" s="24" customFormat="1" hidden="1" outlineLevel="2" x14ac:dyDescent="0.3">
      <c r="A66" s="27"/>
      <c r="B66" s="11" t="str">
        <f>CONCATENATE("          ", "6005", " - ", "TEMPORARY WAGES-HOURLY")</f>
        <v xml:space="preserve">          6005 - TEMPORARY WAGES-HOURLY</v>
      </c>
      <c r="C66" s="11"/>
      <c r="D66" s="7">
        <v>1354.67</v>
      </c>
      <c r="E66" s="2"/>
      <c r="F66" s="6">
        <f t="shared" si="27"/>
        <v>8.6961964291331281E-3</v>
      </c>
      <c r="G66" s="2"/>
      <c r="H66" s="7"/>
      <c r="I66" s="2"/>
      <c r="J66" s="6">
        <f t="shared" si="28"/>
        <v>0</v>
      </c>
      <c r="K66" s="2"/>
      <c r="L66" s="7">
        <f t="shared" si="29"/>
        <v>1354.67</v>
      </c>
      <c r="M66" s="2"/>
      <c r="N66" s="6">
        <f t="shared" si="30"/>
        <v>0</v>
      </c>
      <c r="O66" s="11"/>
      <c r="P66" s="7">
        <v>8233.81</v>
      </c>
      <c r="Q66" s="2"/>
      <c r="R66" s="6">
        <f t="shared" si="31"/>
        <v>7.3357191749914086E-3</v>
      </c>
      <c r="S66" s="2"/>
      <c r="T66" s="7"/>
      <c r="U66" s="2"/>
      <c r="V66" s="6">
        <f t="shared" si="32"/>
        <v>0</v>
      </c>
      <c r="W66" s="2"/>
      <c r="X66" s="7">
        <f t="shared" si="33"/>
        <v>8233.81</v>
      </c>
      <c r="Y66" s="2"/>
      <c r="Z66" s="6">
        <f t="shared" si="34"/>
        <v>0</v>
      </c>
    </row>
    <row r="67" spans="1:26" s="24" customFormat="1" hidden="1" outlineLevel="2" x14ac:dyDescent="0.3">
      <c r="A67" s="27"/>
      <c r="B67" s="11" t="str">
        <f>CONCATENATE("          ", "6007", " - ", "STUDENT HOURLY")</f>
        <v xml:space="preserve">          6007 - STUDENT HOURLY</v>
      </c>
      <c r="C67" s="11"/>
      <c r="D67" s="7">
        <v>4283.21</v>
      </c>
      <c r="E67" s="2"/>
      <c r="F67" s="6">
        <f t="shared" si="27"/>
        <v>2.7495726270772441E-2</v>
      </c>
      <c r="G67" s="2"/>
      <c r="H67" s="7">
        <v>3690.86</v>
      </c>
      <c r="I67" s="2"/>
      <c r="J67" s="6">
        <f t="shared" si="28"/>
        <v>2.8568838845124934E-2</v>
      </c>
      <c r="K67" s="2"/>
      <c r="L67" s="7">
        <f t="shared" si="29"/>
        <v>592.34999999999991</v>
      </c>
      <c r="M67" s="2"/>
      <c r="N67" s="6">
        <f t="shared" si="30"/>
        <v>0.16049105086619375</v>
      </c>
      <c r="O67" s="11"/>
      <c r="P67" s="7">
        <v>22935.9</v>
      </c>
      <c r="Q67" s="2"/>
      <c r="R67" s="6">
        <f t="shared" si="31"/>
        <v>2.0434200136472114E-2</v>
      </c>
      <c r="S67" s="2"/>
      <c r="T67" s="7">
        <v>16545.490000000002</v>
      </c>
      <c r="U67" s="2"/>
      <c r="V67" s="6">
        <f t="shared" si="32"/>
        <v>1.1780037046104745E-2</v>
      </c>
      <c r="W67" s="2"/>
      <c r="X67" s="7">
        <f t="shared" si="33"/>
        <v>6390.41</v>
      </c>
      <c r="Y67" s="2"/>
      <c r="Z67" s="6">
        <f t="shared" si="34"/>
        <v>0.38623274378697753</v>
      </c>
    </row>
    <row r="68" spans="1:26" s="24" customFormat="1" hidden="1" outlineLevel="2" x14ac:dyDescent="0.3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7"/>
        <v>0</v>
      </c>
      <c r="G68" s="2"/>
      <c r="H68" s="7"/>
      <c r="I68" s="2"/>
      <c r="J68" s="6">
        <f t="shared" si="28"/>
        <v>0</v>
      </c>
      <c r="K68" s="2"/>
      <c r="L68" s="7">
        <f t="shared" si="29"/>
        <v>0</v>
      </c>
      <c r="M68" s="2"/>
      <c r="N68" s="6">
        <f t="shared" si="30"/>
        <v>0</v>
      </c>
      <c r="O68" s="11"/>
      <c r="P68" s="7">
        <v>6145.63</v>
      </c>
      <c r="Q68" s="2"/>
      <c r="R68" s="6">
        <f t="shared" si="31"/>
        <v>5.4753043649783577E-3</v>
      </c>
      <c r="S68" s="2"/>
      <c r="T68" s="7"/>
      <c r="U68" s="2"/>
      <c r="V68" s="6">
        <f t="shared" si="32"/>
        <v>0</v>
      </c>
      <c r="W68" s="2"/>
      <c r="X68" s="7">
        <f t="shared" si="33"/>
        <v>6145.63</v>
      </c>
      <c r="Y68" s="2"/>
      <c r="Z68" s="6">
        <f t="shared" si="34"/>
        <v>0</v>
      </c>
    </row>
    <row r="69" spans="1:26" s="29" customFormat="1" outlineLevel="1" collapsed="1" x14ac:dyDescent="0.3">
      <c r="A69" s="28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28.67</v>
      </c>
      <c r="E69" s="1"/>
      <c r="F69" s="5">
        <f t="shared" ref="F69:F77" si="35">IF(D$12=0,0,D69/D$12)</f>
        <v>1.8404478701325544E-4</v>
      </c>
      <c r="G69" s="1"/>
      <c r="H69" s="1">
        <f>SUM(OSRRefH22_2x_0)</f>
        <v>350.05</v>
      </c>
      <c r="I69" s="1"/>
      <c r="J69" s="5">
        <f t="shared" ref="J69:J77" si="36">IF(H$12=0,0,H69/H$12)</f>
        <v>2.709537082884743E-3</v>
      </c>
      <c r="K69" s="1"/>
      <c r="L69" s="1">
        <f t="shared" ref="L69:L77" si="37">+D69-H69</f>
        <v>-321.38</v>
      </c>
      <c r="M69" s="1"/>
      <c r="N69" s="5">
        <f t="shared" ref="N69:N77" si="38">IF(H69=0,0,L69/H69)</f>
        <v>-0.91809741465504924</v>
      </c>
      <c r="O69" s="14"/>
      <c r="P69" s="1">
        <f>SUM(OSRRefP22_2x_0)</f>
        <v>146.80000000000001</v>
      </c>
      <c r="Q69" s="1"/>
      <c r="R69" s="5">
        <f t="shared" ref="R69:R77" si="39">IF(P$12=0,0,P69/P$12)</f>
        <v>1.307880039603463E-4</v>
      </c>
      <c r="S69" s="1"/>
      <c r="T69" s="1">
        <f>SUM(OSRRefT22_2x_0)</f>
        <v>598.92999999999995</v>
      </c>
      <c r="U69" s="1"/>
      <c r="V69" s="5">
        <f t="shared" ref="V69:V77" si="40">IF(T$12=0,0,T69/T$12)</f>
        <v>4.264254239689193E-4</v>
      </c>
      <c r="W69" s="1"/>
      <c r="X69" s="1">
        <f t="shared" ref="X69:X77" si="41">+P69-T69</f>
        <v>-452.12999999999994</v>
      </c>
      <c r="Y69" s="1"/>
      <c r="Z69" s="5">
        <f t="shared" ref="Z69:Z77" si="42">IF(T69=0,0,X69/T69)</f>
        <v>-0.7548962316130432</v>
      </c>
    </row>
    <row r="70" spans="1:26" s="24" customFormat="1" hidden="1" outlineLevel="2" x14ac:dyDescent="0.3">
      <c r="A70" s="27"/>
      <c r="B70" s="11" t="str">
        <f>CONCATENATE("          ", "6362", " - ", "ADVERTISING EXPENSE")</f>
        <v xml:space="preserve">          6362 - ADVERTISING EXPENSE</v>
      </c>
      <c r="C70" s="11"/>
      <c r="D70" s="7">
        <v>28.67</v>
      </c>
      <c r="E70" s="2"/>
      <c r="F70" s="6">
        <f t="shared" si="35"/>
        <v>1.8404478701325544E-4</v>
      </c>
      <c r="G70" s="2"/>
      <c r="H70" s="7">
        <v>350.05</v>
      </c>
      <c r="I70" s="2"/>
      <c r="J70" s="6">
        <f t="shared" si="36"/>
        <v>2.709537082884743E-3</v>
      </c>
      <c r="K70" s="2"/>
      <c r="L70" s="7">
        <f t="shared" si="37"/>
        <v>-321.38</v>
      </c>
      <c r="M70" s="2"/>
      <c r="N70" s="6">
        <f t="shared" si="38"/>
        <v>-0.91809741465504924</v>
      </c>
      <c r="O70" s="11"/>
      <c r="P70" s="7">
        <v>146.80000000000001</v>
      </c>
      <c r="Q70" s="2"/>
      <c r="R70" s="6">
        <f t="shared" si="39"/>
        <v>1.307880039603463E-4</v>
      </c>
      <c r="S70" s="2"/>
      <c r="T70" s="7">
        <v>598.92999999999995</v>
      </c>
      <c r="U70" s="2"/>
      <c r="V70" s="6">
        <f t="shared" si="40"/>
        <v>4.264254239689193E-4</v>
      </c>
      <c r="W70" s="2"/>
      <c r="X70" s="7">
        <f t="shared" si="41"/>
        <v>-452.12999999999994</v>
      </c>
      <c r="Y70" s="2"/>
      <c r="Z70" s="6">
        <f t="shared" si="42"/>
        <v>-0.7548962316130432</v>
      </c>
    </row>
    <row r="71" spans="1:26" s="29" customFormat="1" outlineLevel="1" collapsed="1" x14ac:dyDescent="0.3">
      <c r="A71" s="28"/>
      <c r="B71" s="14" t="str">
        <f>CONCATENATE("     ","Depreciation                                      ")</f>
        <v xml:space="preserve">     Depreciation                                      </v>
      </c>
      <c r="C71" s="14"/>
      <c r="D71" s="1">
        <f>SUM(OSRRefD22_3x_0)</f>
        <v>280.44</v>
      </c>
      <c r="E71" s="1"/>
      <c r="F71" s="5">
        <f t="shared" si="35"/>
        <v>1.8002622975234516E-3</v>
      </c>
      <c r="G71" s="1"/>
      <c r="H71" s="1">
        <f>SUM(OSRRefH22_3x_0)</f>
        <v>280.44</v>
      </c>
      <c r="I71" s="1"/>
      <c r="J71" s="5">
        <f t="shared" si="36"/>
        <v>2.1707258378065915E-3</v>
      </c>
      <c r="K71" s="1"/>
      <c r="L71" s="1">
        <f t="shared" si="37"/>
        <v>0</v>
      </c>
      <c r="M71" s="1"/>
      <c r="N71" s="5">
        <f t="shared" si="38"/>
        <v>0</v>
      </c>
      <c r="O71" s="14"/>
      <c r="P71" s="1">
        <f>SUM(OSRRefP22_3x_0)</f>
        <v>1963.08</v>
      </c>
      <c r="Q71" s="1"/>
      <c r="R71" s="5">
        <f t="shared" si="39"/>
        <v>1.748959910180358E-3</v>
      </c>
      <c r="S71" s="1"/>
      <c r="T71" s="1">
        <f>SUM(OSRRefT22_3x_0)</f>
        <v>1963.08</v>
      </c>
      <c r="U71" s="1"/>
      <c r="V71" s="5">
        <f t="shared" si="40"/>
        <v>1.3976712158097042E-3</v>
      </c>
      <c r="W71" s="1"/>
      <c r="X71" s="1">
        <f t="shared" si="41"/>
        <v>0</v>
      </c>
      <c r="Y71" s="1"/>
      <c r="Z71" s="5">
        <f t="shared" si="42"/>
        <v>0</v>
      </c>
    </row>
    <row r="72" spans="1:26" s="24" customFormat="1" hidden="1" outlineLevel="2" x14ac:dyDescent="0.3">
      <c r="A72" s="27"/>
      <c r="B72" s="11" t="str">
        <f>CONCATENATE("          ", "6322", " - ", "EQUIPMENT DEPRECIATION EXPENSE")</f>
        <v xml:space="preserve">          6322 - EQUIPMENT DEPRECIATION EXPENSE</v>
      </c>
      <c r="C72" s="11"/>
      <c r="D72" s="7">
        <v>280.44</v>
      </c>
      <c r="E72" s="2"/>
      <c r="F72" s="6">
        <f t="shared" si="35"/>
        <v>1.8002622975234516E-3</v>
      </c>
      <c r="G72" s="2"/>
      <c r="H72" s="7">
        <v>280.44</v>
      </c>
      <c r="I72" s="2"/>
      <c r="J72" s="6">
        <f t="shared" si="36"/>
        <v>2.1707258378065915E-3</v>
      </c>
      <c r="K72" s="2"/>
      <c r="L72" s="7">
        <f t="shared" si="37"/>
        <v>0</v>
      </c>
      <c r="M72" s="2"/>
      <c r="N72" s="6">
        <f t="shared" si="38"/>
        <v>0</v>
      </c>
      <c r="O72" s="11"/>
      <c r="P72" s="7">
        <v>1963.08</v>
      </c>
      <c r="Q72" s="2"/>
      <c r="R72" s="6">
        <f t="shared" si="39"/>
        <v>1.748959910180358E-3</v>
      </c>
      <c r="S72" s="2"/>
      <c r="T72" s="7">
        <v>1963.08</v>
      </c>
      <c r="U72" s="2"/>
      <c r="V72" s="6">
        <f t="shared" si="40"/>
        <v>1.3976712158097042E-3</v>
      </c>
      <c r="W72" s="2"/>
      <c r="X72" s="7">
        <f t="shared" si="41"/>
        <v>0</v>
      </c>
      <c r="Y72" s="2"/>
      <c r="Z72" s="6">
        <f t="shared" si="42"/>
        <v>0</v>
      </c>
    </row>
    <row r="73" spans="1:26" s="29" customFormat="1" outlineLevel="1" collapsed="1" x14ac:dyDescent="0.3">
      <c r="A73" s="28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SUM(OSRRefD22_4x_0)</f>
        <v>0</v>
      </c>
      <c r="E73" s="1"/>
      <c r="F73" s="5">
        <f t="shared" si="35"/>
        <v>0</v>
      </c>
      <c r="G73" s="1"/>
      <c r="H73" s="1">
        <f>SUM(OSRRefH22_4x_0)</f>
        <v>0</v>
      </c>
      <c r="I73" s="1"/>
      <c r="J73" s="5">
        <f t="shared" si="36"/>
        <v>0</v>
      </c>
      <c r="K73" s="1"/>
      <c r="L73" s="1">
        <f t="shared" si="37"/>
        <v>0</v>
      </c>
      <c r="M73" s="1"/>
      <c r="N73" s="5">
        <f t="shared" si="38"/>
        <v>0</v>
      </c>
      <c r="O73" s="14"/>
      <c r="P73" s="1">
        <f>SUM(OSRRefP22_4x_0)</f>
        <v>0</v>
      </c>
      <c r="Q73" s="1"/>
      <c r="R73" s="5">
        <f t="shared" si="39"/>
        <v>0</v>
      </c>
      <c r="S73" s="1"/>
      <c r="T73" s="1">
        <f>SUM(OSRRefT22_4x_0)</f>
        <v>0</v>
      </c>
      <c r="U73" s="1"/>
      <c r="V73" s="5">
        <f t="shared" si="40"/>
        <v>0</v>
      </c>
      <c r="W73" s="1"/>
      <c r="X73" s="1">
        <f t="shared" si="41"/>
        <v>0</v>
      </c>
      <c r="Y73" s="1"/>
      <c r="Z73" s="5">
        <f t="shared" si="42"/>
        <v>0</v>
      </c>
    </row>
    <row r="74" spans="1:26" s="24" customFormat="1" hidden="1" outlineLevel="2" x14ac:dyDescent="0.3">
      <c r="A74" s="27"/>
      <c r="B74" s="11" t="str">
        <f>CONCATENATE("          ", "6382", " - ", "DISCOUNTS/MARK DOWNS")</f>
        <v xml:space="preserve">          6382 - DISCOUNTS/MARK DOWNS</v>
      </c>
      <c r="C74" s="11"/>
      <c r="D74" s="7"/>
      <c r="E74" s="2"/>
      <c r="F74" s="6">
        <f t="shared" si="35"/>
        <v>0</v>
      </c>
      <c r="G74" s="2"/>
      <c r="H74" s="7">
        <v>0</v>
      </c>
      <c r="I74" s="2"/>
      <c r="J74" s="6">
        <f t="shared" si="36"/>
        <v>0</v>
      </c>
      <c r="K74" s="2"/>
      <c r="L74" s="7">
        <f t="shared" si="37"/>
        <v>0</v>
      </c>
      <c r="M74" s="2"/>
      <c r="N74" s="6">
        <f t="shared" si="38"/>
        <v>0</v>
      </c>
      <c r="O74" s="11"/>
      <c r="P74" s="7"/>
      <c r="Q74" s="2"/>
      <c r="R74" s="6">
        <f t="shared" si="39"/>
        <v>0</v>
      </c>
      <c r="S74" s="2"/>
      <c r="T74" s="7">
        <v>0</v>
      </c>
      <c r="U74" s="2"/>
      <c r="V74" s="6">
        <f t="shared" si="40"/>
        <v>0</v>
      </c>
      <c r="W74" s="2"/>
      <c r="X74" s="7">
        <f t="shared" si="41"/>
        <v>0</v>
      </c>
      <c r="Y74" s="2"/>
      <c r="Z74" s="6">
        <f t="shared" si="42"/>
        <v>0</v>
      </c>
    </row>
    <row r="75" spans="1:26" s="29" customFormat="1" outlineLevel="1" collapsed="1" x14ac:dyDescent="0.3">
      <c r="A75" s="28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SUM(OSRRefD22_5x_0)</f>
        <v>0</v>
      </c>
      <c r="E75" s="1"/>
      <c r="F75" s="5">
        <f t="shared" si="35"/>
        <v>0</v>
      </c>
      <c r="G75" s="1"/>
      <c r="H75" s="1">
        <f>SUM(OSRRefH22_5x_0)</f>
        <v>122.94</v>
      </c>
      <c r="I75" s="1"/>
      <c r="J75" s="5">
        <f t="shared" si="36"/>
        <v>9.5160831015526437E-4</v>
      </c>
      <c r="K75" s="1"/>
      <c r="L75" s="1">
        <f t="shared" si="37"/>
        <v>-122.94</v>
      </c>
      <c r="M75" s="1"/>
      <c r="N75" s="5">
        <f t="shared" si="38"/>
        <v>-1</v>
      </c>
      <c r="O75" s="14"/>
      <c r="P75" s="1">
        <f>SUM(OSRRefP22_5x_0)</f>
        <v>122.13</v>
      </c>
      <c r="Q75" s="1"/>
      <c r="R75" s="5">
        <f t="shared" si="39"/>
        <v>1.0880884825393113E-4</v>
      </c>
      <c r="S75" s="1"/>
      <c r="T75" s="1">
        <f>SUM(OSRRefT22_5x_0)</f>
        <v>994.11</v>
      </c>
      <c r="U75" s="1"/>
      <c r="V75" s="5">
        <f t="shared" si="40"/>
        <v>7.0778518060832219E-4</v>
      </c>
      <c r="W75" s="1"/>
      <c r="X75" s="1">
        <f t="shared" si="41"/>
        <v>-871.98</v>
      </c>
      <c r="Y75" s="1"/>
      <c r="Z75" s="5">
        <f t="shared" si="42"/>
        <v>-0.87714639225035462</v>
      </c>
    </row>
    <row r="76" spans="1:26" s="24" customFormat="1" hidden="1" outlineLevel="2" x14ac:dyDescent="0.3">
      <c r="A76" s="27"/>
      <c r="B76" s="11" t="str">
        <f>CONCATENATE("          ", "6305", " - ", "FREIGHT OUT")</f>
        <v xml:space="preserve">          6305 - FREIGHT OUT</v>
      </c>
      <c r="C76" s="11"/>
      <c r="D76" s="7"/>
      <c r="E76" s="2"/>
      <c r="F76" s="6">
        <f t="shared" si="35"/>
        <v>0</v>
      </c>
      <c r="G76" s="2"/>
      <c r="H76" s="7">
        <v>122.94</v>
      </c>
      <c r="I76" s="2"/>
      <c r="J76" s="6">
        <f t="shared" si="36"/>
        <v>9.5160831015526437E-4</v>
      </c>
      <c r="K76" s="2"/>
      <c r="L76" s="7">
        <f t="shared" si="37"/>
        <v>-122.94</v>
      </c>
      <c r="M76" s="2"/>
      <c r="N76" s="6">
        <f t="shared" si="38"/>
        <v>-1</v>
      </c>
      <c r="O76" s="11"/>
      <c r="P76" s="7">
        <v>122.13</v>
      </c>
      <c r="Q76" s="2"/>
      <c r="R76" s="6">
        <f t="shared" si="39"/>
        <v>1.0880884825393113E-4</v>
      </c>
      <c r="S76" s="2"/>
      <c r="T76" s="7">
        <v>981.51</v>
      </c>
      <c r="U76" s="2"/>
      <c r="V76" s="6">
        <f t="shared" si="40"/>
        <v>6.9881424854279135E-4</v>
      </c>
      <c r="W76" s="2"/>
      <c r="X76" s="7">
        <f t="shared" si="41"/>
        <v>-859.38</v>
      </c>
      <c r="Y76" s="2"/>
      <c r="Z76" s="6">
        <f t="shared" si="42"/>
        <v>-0.8755692759116056</v>
      </c>
    </row>
    <row r="77" spans="1:26" s="24" customFormat="1" hidden="1" outlineLevel="2" x14ac:dyDescent="0.3">
      <c r="A77" s="27"/>
      <c r="B77" s="11" t="str">
        <f>CONCATENATE("          ", "6307", " - ", "POSTAGE")</f>
        <v xml:space="preserve">          6307 - POSTAGE</v>
      </c>
      <c r="C77" s="11"/>
      <c r="D77" s="7"/>
      <c r="E77" s="2"/>
      <c r="F77" s="6">
        <f t="shared" si="35"/>
        <v>0</v>
      </c>
      <c r="G77" s="2"/>
      <c r="H77" s="7"/>
      <c r="I77" s="2"/>
      <c r="J77" s="6">
        <f t="shared" si="36"/>
        <v>0</v>
      </c>
      <c r="K77" s="2"/>
      <c r="L77" s="7">
        <f t="shared" si="37"/>
        <v>0</v>
      </c>
      <c r="M77" s="2"/>
      <c r="N77" s="6">
        <f t="shared" si="38"/>
        <v>0</v>
      </c>
      <c r="O77" s="11"/>
      <c r="P77" s="7"/>
      <c r="Q77" s="2"/>
      <c r="R77" s="6">
        <f t="shared" si="39"/>
        <v>0</v>
      </c>
      <c r="S77" s="2"/>
      <c r="T77" s="7">
        <v>12.6</v>
      </c>
      <c r="U77" s="2"/>
      <c r="V77" s="6">
        <f t="shared" si="40"/>
        <v>8.9709320655308361E-6</v>
      </c>
      <c r="W77" s="2"/>
      <c r="X77" s="7">
        <f t="shared" si="41"/>
        <v>-12.6</v>
      </c>
      <c r="Y77" s="2"/>
      <c r="Z77" s="6">
        <f t="shared" si="42"/>
        <v>-1</v>
      </c>
    </row>
    <row r="78" spans="1:26" s="29" customFormat="1" outlineLevel="1" collapsed="1" x14ac:dyDescent="0.3">
      <c r="A78" s="28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0</v>
      </c>
      <c r="E78" s="1"/>
      <c r="F78" s="5">
        <f t="shared" ref="F78:F85" si="43">IF(D$12=0,0,D78/D$12)</f>
        <v>0</v>
      </c>
      <c r="G78" s="1"/>
      <c r="H78" s="1">
        <f>SUM(OSRRefH22_6x_0)</f>
        <v>0</v>
      </c>
      <c r="I78" s="1"/>
      <c r="J78" s="5">
        <f t="shared" ref="J78:J85" si="44">IF(H$12=0,0,H78/H$12)</f>
        <v>0</v>
      </c>
      <c r="K78" s="1"/>
      <c r="L78" s="1">
        <f t="shared" ref="L78:L85" si="45">+D78-H78</f>
        <v>0</v>
      </c>
      <c r="M78" s="1"/>
      <c r="N78" s="5">
        <f t="shared" ref="N78:N85" si="46">IF(H78=0,0,L78/H78)</f>
        <v>0</v>
      </c>
      <c r="O78" s="14"/>
      <c r="P78" s="1">
        <f>SUM(OSRRefP22_6x_0)</f>
        <v>0</v>
      </c>
      <c r="Q78" s="1"/>
      <c r="R78" s="5">
        <f t="shared" ref="R78:R85" si="47">IF(P$12=0,0,P78/P$12)</f>
        <v>0</v>
      </c>
      <c r="S78" s="1"/>
      <c r="T78" s="1">
        <f>SUM(OSRRefT22_6x_0)</f>
        <v>-30.15</v>
      </c>
      <c r="U78" s="1"/>
      <c r="V78" s="5">
        <f t="shared" ref="V78:V85" si="48">IF(T$12=0,0,T78/T$12)</f>
        <v>-2.146615887109164E-5</v>
      </c>
      <c r="W78" s="1"/>
      <c r="X78" s="1">
        <f t="shared" ref="X78:X85" si="49">+P78-T78</f>
        <v>30.15</v>
      </c>
      <c r="Y78" s="1"/>
      <c r="Z78" s="5">
        <f t="shared" ref="Z78:Z85" si="50">IF(T78=0,0,X78/T78)</f>
        <v>-1</v>
      </c>
    </row>
    <row r="79" spans="1:26" s="24" customFormat="1" hidden="1" outlineLevel="2" x14ac:dyDescent="0.3">
      <c r="A79" s="27"/>
      <c r="B79" s="11" t="str">
        <f>CONCATENATE("          ", "6279", " - ", "GENERAL EXPENSE")</f>
        <v xml:space="preserve">          6279 - GENERAL EXPENSE</v>
      </c>
      <c r="C79" s="11"/>
      <c r="D79" s="7"/>
      <c r="E79" s="2"/>
      <c r="F79" s="6">
        <f t="shared" si="43"/>
        <v>0</v>
      </c>
      <c r="G79" s="2"/>
      <c r="H79" s="7"/>
      <c r="I79" s="2"/>
      <c r="J79" s="6">
        <f t="shared" si="44"/>
        <v>0</v>
      </c>
      <c r="K79" s="2"/>
      <c r="L79" s="7">
        <f t="shared" si="45"/>
        <v>0</v>
      </c>
      <c r="M79" s="2"/>
      <c r="N79" s="6">
        <f t="shared" si="46"/>
        <v>0</v>
      </c>
      <c r="O79" s="11"/>
      <c r="P79" s="7"/>
      <c r="Q79" s="2"/>
      <c r="R79" s="6">
        <f t="shared" si="47"/>
        <v>0</v>
      </c>
      <c r="S79" s="2"/>
      <c r="T79" s="7">
        <v>-30.15</v>
      </c>
      <c r="U79" s="2"/>
      <c r="V79" s="6">
        <f t="shared" si="48"/>
        <v>-2.146615887109164E-5</v>
      </c>
      <c r="W79" s="2"/>
      <c r="X79" s="7">
        <f t="shared" si="49"/>
        <v>30.15</v>
      </c>
      <c r="Y79" s="2"/>
      <c r="Z79" s="6">
        <f t="shared" si="50"/>
        <v>-1</v>
      </c>
    </row>
    <row r="80" spans="1:26" s="29" customFormat="1" outlineLevel="1" collapsed="1" x14ac:dyDescent="0.3">
      <c r="A80" s="28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970</v>
      </c>
      <c r="E80" s="1"/>
      <c r="F80" s="5">
        <f t="shared" si="43"/>
        <v>6.226837928247568E-3</v>
      </c>
      <c r="G80" s="1"/>
      <c r="H80" s="1">
        <f>SUM(OSRRefH22_7x_0)</f>
        <v>1250</v>
      </c>
      <c r="I80" s="1"/>
      <c r="J80" s="5">
        <f t="shared" si="44"/>
        <v>9.6755359337406914E-3</v>
      </c>
      <c r="K80" s="1"/>
      <c r="L80" s="1">
        <f t="shared" si="45"/>
        <v>-280</v>
      </c>
      <c r="M80" s="1"/>
      <c r="N80" s="5">
        <f t="shared" si="46"/>
        <v>-0.224</v>
      </c>
      <c r="O80" s="14"/>
      <c r="P80" s="1">
        <f>SUM(OSRRefP22_7x_0)</f>
        <v>6610</v>
      </c>
      <c r="Q80" s="1"/>
      <c r="R80" s="5">
        <f t="shared" si="47"/>
        <v>5.8890238840455644E-3</v>
      </c>
      <c r="S80" s="1"/>
      <c r="T80" s="1">
        <f>SUM(OSRRefT22_7x_0)</f>
        <v>8750</v>
      </c>
      <c r="U80" s="1"/>
      <c r="V80" s="5">
        <f t="shared" si="48"/>
        <v>6.2298139343964134E-3</v>
      </c>
      <c r="W80" s="1"/>
      <c r="X80" s="1">
        <f t="shared" si="49"/>
        <v>-2140</v>
      </c>
      <c r="Y80" s="1"/>
      <c r="Z80" s="5">
        <f t="shared" si="50"/>
        <v>-0.24457142857142858</v>
      </c>
    </row>
    <row r="81" spans="1:26" s="24" customFormat="1" hidden="1" outlineLevel="2" x14ac:dyDescent="0.3">
      <c r="A81" s="27"/>
      <c r="B81" s="11" t="str">
        <f>CONCATENATE("          ", "6408", " - ", "INVENTORY ADJUSTMENT")</f>
        <v xml:space="preserve">          6408 - INVENTORY ADJUSTMENT</v>
      </c>
      <c r="C81" s="11"/>
      <c r="D81" s="7">
        <v>970</v>
      </c>
      <c r="E81" s="2"/>
      <c r="F81" s="6">
        <f t="shared" si="43"/>
        <v>6.226837928247568E-3</v>
      </c>
      <c r="G81" s="2"/>
      <c r="H81" s="7">
        <v>1250</v>
      </c>
      <c r="I81" s="2"/>
      <c r="J81" s="6">
        <f t="shared" si="44"/>
        <v>9.6755359337406914E-3</v>
      </c>
      <c r="K81" s="2"/>
      <c r="L81" s="7">
        <f t="shared" si="45"/>
        <v>-280</v>
      </c>
      <c r="M81" s="2"/>
      <c r="N81" s="6">
        <f t="shared" si="46"/>
        <v>-0.224</v>
      </c>
      <c r="O81" s="11"/>
      <c r="P81" s="7">
        <v>6610</v>
      </c>
      <c r="Q81" s="2"/>
      <c r="R81" s="6">
        <f t="shared" si="47"/>
        <v>5.8890238840455644E-3</v>
      </c>
      <c r="S81" s="2"/>
      <c r="T81" s="7">
        <v>8750</v>
      </c>
      <c r="U81" s="2"/>
      <c r="V81" s="6">
        <f t="shared" si="48"/>
        <v>6.2298139343964134E-3</v>
      </c>
      <c r="W81" s="2"/>
      <c r="X81" s="7">
        <f t="shared" si="49"/>
        <v>-2140</v>
      </c>
      <c r="Y81" s="2"/>
      <c r="Z81" s="6">
        <f t="shared" si="50"/>
        <v>-0.24457142857142858</v>
      </c>
    </row>
    <row r="82" spans="1:26" s="29" customFormat="1" outlineLevel="1" collapsed="1" x14ac:dyDescent="0.3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SUM(OSRRefD22_8x_0)</f>
        <v>11.04</v>
      </c>
      <c r="E82" s="1"/>
      <c r="F82" s="5">
        <f t="shared" si="43"/>
        <v>7.0870402812219741E-5</v>
      </c>
      <c r="G82" s="1"/>
      <c r="H82" s="1">
        <f>SUM(OSRRefH22_8x_0)</f>
        <v>-683.71</v>
      </c>
      <c r="I82" s="1"/>
      <c r="J82" s="5">
        <f t="shared" si="44"/>
        <v>-5.2922085386062781E-3</v>
      </c>
      <c r="K82" s="1"/>
      <c r="L82" s="1">
        <f t="shared" si="45"/>
        <v>694.75</v>
      </c>
      <c r="M82" s="1"/>
      <c r="N82" s="5">
        <f t="shared" si="46"/>
        <v>-1.016147196910971</v>
      </c>
      <c r="O82" s="14"/>
      <c r="P82" s="1">
        <f>SUM(OSRRefP22_8x_0)</f>
        <v>3318.5</v>
      </c>
      <c r="Q82" s="1"/>
      <c r="R82" s="5">
        <f t="shared" si="47"/>
        <v>2.9565394491989721E-3</v>
      </c>
      <c r="S82" s="1"/>
      <c r="T82" s="1">
        <f>SUM(OSRRefT22_8x_0)</f>
        <v>2069.86</v>
      </c>
      <c r="U82" s="1"/>
      <c r="V82" s="5">
        <f t="shared" si="48"/>
        <v>1.4736963051714012E-3</v>
      </c>
      <c r="W82" s="1"/>
      <c r="X82" s="1">
        <f t="shared" si="49"/>
        <v>1248.6399999999999</v>
      </c>
      <c r="Y82" s="1"/>
      <c r="Z82" s="5">
        <f t="shared" si="50"/>
        <v>0.60324852888601155</v>
      </c>
    </row>
    <row r="83" spans="1:26" s="24" customFormat="1" hidden="1" outlineLevel="2" x14ac:dyDescent="0.3">
      <c r="A83" s="27"/>
      <c r="B83" s="11" t="str">
        <f>CONCATENATE("          ", "6235", " - ", "COVID-19 EXPENSES")</f>
        <v xml:space="preserve">          6235 - COVID-19 EXPENSES</v>
      </c>
      <c r="C83" s="11"/>
      <c r="D83" s="7"/>
      <c r="E83" s="2"/>
      <c r="F83" s="6">
        <f t="shared" si="43"/>
        <v>0</v>
      </c>
      <c r="G83" s="2"/>
      <c r="H83" s="7"/>
      <c r="I83" s="2"/>
      <c r="J83" s="6">
        <f t="shared" si="44"/>
        <v>0</v>
      </c>
      <c r="K83" s="2"/>
      <c r="L83" s="7">
        <f t="shared" si="45"/>
        <v>0</v>
      </c>
      <c r="M83" s="2"/>
      <c r="N83" s="6">
        <f t="shared" si="46"/>
        <v>0</v>
      </c>
      <c r="O83" s="11"/>
      <c r="P83" s="7"/>
      <c r="Q83" s="2"/>
      <c r="R83" s="6">
        <f t="shared" si="47"/>
        <v>0</v>
      </c>
      <c r="S83" s="2"/>
      <c r="T83" s="7">
        <v>668.12</v>
      </c>
      <c r="U83" s="2"/>
      <c r="V83" s="6">
        <f t="shared" si="48"/>
        <v>4.7568723266844937E-4</v>
      </c>
      <c r="W83" s="2"/>
      <c r="X83" s="7">
        <f t="shared" si="49"/>
        <v>-668.12</v>
      </c>
      <c r="Y83" s="2"/>
      <c r="Z83" s="6">
        <f t="shared" si="50"/>
        <v>-1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7">
        <v>11.04</v>
      </c>
      <c r="E84" s="2"/>
      <c r="F84" s="6">
        <f t="shared" si="43"/>
        <v>7.0870402812219741E-5</v>
      </c>
      <c r="G84" s="2"/>
      <c r="H84" s="7">
        <v>-683.71</v>
      </c>
      <c r="I84" s="2"/>
      <c r="J84" s="6">
        <f t="shared" si="44"/>
        <v>-5.2922085386062781E-3</v>
      </c>
      <c r="K84" s="2"/>
      <c r="L84" s="7">
        <f t="shared" si="45"/>
        <v>694.75</v>
      </c>
      <c r="M84" s="2"/>
      <c r="N84" s="6">
        <f t="shared" si="46"/>
        <v>-1.016147196910971</v>
      </c>
      <c r="O84" s="11"/>
      <c r="P84" s="7">
        <v>406.5</v>
      </c>
      <c r="Q84" s="2"/>
      <c r="R84" s="6">
        <f t="shared" si="47"/>
        <v>3.6216160497193979E-4</v>
      </c>
      <c r="S84" s="2"/>
      <c r="T84" s="7">
        <v>1401.74</v>
      </c>
      <c r="U84" s="2"/>
      <c r="V84" s="6">
        <f t="shared" si="48"/>
        <v>9.9800907250295178E-4</v>
      </c>
      <c r="W84" s="2"/>
      <c r="X84" s="7">
        <f t="shared" si="49"/>
        <v>-995.24</v>
      </c>
      <c r="Y84" s="2"/>
      <c r="Z84" s="6">
        <f t="shared" si="50"/>
        <v>-0.71000328163568138</v>
      </c>
    </row>
    <row r="85" spans="1:26" s="24" customFormat="1" hidden="1" outlineLevel="2" x14ac:dyDescent="0.3">
      <c r="A85" s="27"/>
      <c r="B85" s="11" t="str">
        <f>CONCATENATE("          ", "6247", " - ", "STORE SUPPLIES")</f>
        <v xml:space="preserve">          6247 - STORE SUPPLIES</v>
      </c>
      <c r="C85" s="11"/>
      <c r="D85" s="7"/>
      <c r="E85" s="2"/>
      <c r="F85" s="6">
        <f t="shared" si="43"/>
        <v>0</v>
      </c>
      <c r="G85" s="2"/>
      <c r="H85" s="7"/>
      <c r="I85" s="2"/>
      <c r="J85" s="6">
        <f t="shared" si="44"/>
        <v>0</v>
      </c>
      <c r="K85" s="2"/>
      <c r="L85" s="7">
        <f t="shared" si="45"/>
        <v>0</v>
      </c>
      <c r="M85" s="2"/>
      <c r="N85" s="6">
        <f t="shared" si="46"/>
        <v>0</v>
      </c>
      <c r="O85" s="11"/>
      <c r="P85" s="7">
        <v>2912</v>
      </c>
      <c r="Q85" s="2"/>
      <c r="R85" s="6">
        <f t="shared" si="47"/>
        <v>2.5943778442270326E-3</v>
      </c>
      <c r="S85" s="2"/>
      <c r="T85" s="7"/>
      <c r="U85" s="2"/>
      <c r="V85" s="6">
        <f t="shared" si="48"/>
        <v>0</v>
      </c>
      <c r="W85" s="2"/>
      <c r="X85" s="7">
        <f t="shared" si="49"/>
        <v>2912</v>
      </c>
      <c r="Y85" s="2"/>
      <c r="Z85" s="6">
        <f t="shared" si="50"/>
        <v>0</v>
      </c>
    </row>
    <row r="86" spans="1:26" s="29" customFormat="1" outlineLevel="1" collapsed="1" x14ac:dyDescent="0.3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SUM(OSRRefD22_9x_0)</f>
        <v>203.25</v>
      </c>
      <c r="E86" s="1"/>
      <c r="F86" s="5">
        <f t="shared" ref="F86:F89" si="51">IF(D$12=0,0,D86/D$12)</f>
        <v>1.3047472256869259E-3</v>
      </c>
      <c r="G86" s="1"/>
      <c r="H86" s="1">
        <f>SUM(OSRRefH22_9x_0)</f>
        <v>227.45</v>
      </c>
      <c r="I86" s="1"/>
      <c r="J86" s="5">
        <f t="shared" ref="J86:J89" si="52">IF(H$12=0,0,H86/H$12)</f>
        <v>1.7605605185034559E-3</v>
      </c>
      <c r="K86" s="1"/>
      <c r="L86" s="1">
        <f t="shared" ref="L86:L89" si="53">+D86-H86</f>
        <v>-24.199999999999989</v>
      </c>
      <c r="M86" s="1"/>
      <c r="N86" s="5">
        <f t="shared" ref="N86:N89" si="54">IF(H86=0,0,L86/H86)</f>
        <v>-0.10639701033194104</v>
      </c>
      <c r="O86" s="14"/>
      <c r="P86" s="1">
        <f>SUM(OSRRefP22_9x_0)</f>
        <v>1465.6</v>
      </c>
      <c r="Q86" s="1"/>
      <c r="R86" s="5">
        <f t="shared" ref="R86:R89" si="55">IF(P$12=0,0,P86/P$12)</f>
        <v>1.3057418161054734E-3</v>
      </c>
      <c r="S86" s="1"/>
      <c r="T86" s="1">
        <f>SUM(OSRRefT22_9x_0)</f>
        <v>2080.75</v>
      </c>
      <c r="U86" s="1"/>
      <c r="V86" s="5">
        <f t="shared" ref="V86:V89" si="56">IF(T$12=0,0,T86/T$12)</f>
        <v>1.4814497535994673E-3</v>
      </c>
      <c r="W86" s="1"/>
      <c r="X86" s="1">
        <f t="shared" ref="X86:X89" si="57">+P86-T86</f>
        <v>-615.15000000000009</v>
      </c>
      <c r="Y86" s="1"/>
      <c r="Z86" s="5">
        <f t="shared" ref="Z86:Z89" si="58">IF(T86=0,0,X86/T86)</f>
        <v>-0.2956385918538989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7">
        <v>203.25</v>
      </c>
      <c r="E87" s="2"/>
      <c r="F87" s="6">
        <f t="shared" si="51"/>
        <v>1.3047472256869259E-3</v>
      </c>
      <c r="G87" s="2"/>
      <c r="H87" s="7">
        <v>227.45</v>
      </c>
      <c r="I87" s="2"/>
      <c r="J87" s="6">
        <f t="shared" si="52"/>
        <v>1.7605605185034559E-3</v>
      </c>
      <c r="K87" s="2"/>
      <c r="L87" s="7">
        <f t="shared" si="53"/>
        <v>-24.199999999999989</v>
      </c>
      <c r="M87" s="2"/>
      <c r="N87" s="6">
        <f t="shared" si="54"/>
        <v>-0.10639701033194104</v>
      </c>
      <c r="O87" s="11"/>
      <c r="P87" s="7">
        <v>1465.6</v>
      </c>
      <c r="Q87" s="2"/>
      <c r="R87" s="6">
        <f t="shared" si="55"/>
        <v>1.3057418161054734E-3</v>
      </c>
      <c r="S87" s="2"/>
      <c r="T87" s="7">
        <v>2080.75</v>
      </c>
      <c r="U87" s="2"/>
      <c r="V87" s="6">
        <f t="shared" si="56"/>
        <v>1.4814497535994673E-3</v>
      </c>
      <c r="W87" s="2"/>
      <c r="X87" s="7">
        <f t="shared" si="57"/>
        <v>-615.15000000000009</v>
      </c>
      <c r="Y87" s="2"/>
      <c r="Z87" s="6">
        <f t="shared" si="58"/>
        <v>-0.2956385918538989</v>
      </c>
    </row>
    <row r="88" spans="1:26" s="29" customFormat="1" outlineLevel="1" collapsed="1" x14ac:dyDescent="0.3">
      <c r="A88" s="28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SUM(OSRRefD22_10x_0)</f>
        <v>0</v>
      </c>
      <c r="E88" s="1"/>
      <c r="F88" s="5">
        <f t="shared" si="51"/>
        <v>0</v>
      </c>
      <c r="G88" s="1"/>
      <c r="H88" s="1">
        <f>SUM(OSRRefH22_10x_0)</f>
        <v>0</v>
      </c>
      <c r="I88" s="1"/>
      <c r="J88" s="5">
        <f t="shared" si="52"/>
        <v>0</v>
      </c>
      <c r="K88" s="1"/>
      <c r="L88" s="1">
        <f t="shared" si="53"/>
        <v>0</v>
      </c>
      <c r="M88" s="1"/>
      <c r="N88" s="5">
        <f t="shared" si="54"/>
        <v>0</v>
      </c>
      <c r="O88" s="14"/>
      <c r="P88" s="1">
        <f>SUM(OSRRefP22_10x_0)</f>
        <v>0</v>
      </c>
      <c r="Q88" s="1"/>
      <c r="R88" s="5">
        <f t="shared" si="55"/>
        <v>0</v>
      </c>
      <c r="S88" s="1"/>
      <c r="T88" s="1">
        <f>SUM(OSRRefT22_10x_0)</f>
        <v>100</v>
      </c>
      <c r="U88" s="1"/>
      <c r="V88" s="5">
        <f t="shared" si="56"/>
        <v>7.1197873535959011E-5</v>
      </c>
      <c r="W88" s="1"/>
      <c r="X88" s="1">
        <f t="shared" si="57"/>
        <v>-100</v>
      </c>
      <c r="Y88" s="1"/>
      <c r="Z88" s="5">
        <f t="shared" si="58"/>
        <v>-1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1"/>
        <v>0</v>
      </c>
      <c r="G89" s="2"/>
      <c r="H89" s="7"/>
      <c r="I89" s="2"/>
      <c r="J89" s="6">
        <f t="shared" si="52"/>
        <v>0</v>
      </c>
      <c r="K89" s="2"/>
      <c r="L89" s="7">
        <f t="shared" si="53"/>
        <v>0</v>
      </c>
      <c r="M89" s="2"/>
      <c r="N89" s="6">
        <f t="shared" si="54"/>
        <v>0</v>
      </c>
      <c r="O89" s="11"/>
      <c r="P89" s="7"/>
      <c r="Q89" s="2"/>
      <c r="R89" s="6">
        <f t="shared" si="55"/>
        <v>0</v>
      </c>
      <c r="S89" s="2"/>
      <c r="T89" s="7">
        <v>100</v>
      </c>
      <c r="U89" s="2"/>
      <c r="V89" s="6">
        <f t="shared" si="56"/>
        <v>7.1197873535959011E-5</v>
      </c>
      <c r="W89" s="2"/>
      <c r="X89" s="7">
        <f t="shared" si="57"/>
        <v>-100</v>
      </c>
      <c r="Y89" s="2"/>
      <c r="Z89" s="6">
        <f t="shared" si="58"/>
        <v>-1</v>
      </c>
    </row>
    <row r="90" spans="1:26" s="52" customFormat="1" x14ac:dyDescent="0.3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3">
      <c r="A91" s="10"/>
      <c r="B91" s="26" t="s">
        <v>292</v>
      </c>
      <c r="C91" s="10"/>
      <c r="D91" s="4">
        <f>SUM(OSRRefD25x_0)</f>
        <v>1242.72</v>
      </c>
      <c r="E91" s="4"/>
      <c r="F91" s="12">
        <f t="shared" ref="F91:F94" si="59">IF(D$12=0,0,D91/D$12)</f>
        <v>7.9775422991668222E-3</v>
      </c>
      <c r="G91" s="4"/>
      <c r="H91" s="4">
        <f>SUM(OSRRefH25x_0)</f>
        <v>285.94</v>
      </c>
      <c r="I91" s="4"/>
      <c r="J91" s="12">
        <f t="shared" ref="J91:J94" si="60">IF(H$12=0,0,H91/H$12)</f>
        <v>2.2132981959150505E-3</v>
      </c>
      <c r="K91" s="4"/>
      <c r="L91" s="4">
        <f t="shared" ref="L91:L94" si="61">+D91-H91</f>
        <v>956.78</v>
      </c>
      <c r="M91" s="4"/>
      <c r="N91" s="12">
        <f t="shared" ref="N91:N94" si="62">IF(H91=0,0,L91/H91)</f>
        <v>3.3460865915926417</v>
      </c>
      <c r="O91" s="10"/>
      <c r="P91" s="4">
        <f>SUM(OSRRefP25x_0)</f>
        <v>3840.75</v>
      </c>
      <c r="Q91" s="4"/>
      <c r="R91" s="12">
        <f t="shared" ref="R91:R94" si="63">IF(P$12=0,0,P91/P$12)</f>
        <v>3.4218257916260215E-3</v>
      </c>
      <c r="S91" s="4"/>
      <c r="T91" s="4">
        <f>SUM(OSRRefT25x_0)</f>
        <v>629.04</v>
      </c>
      <c r="U91" s="4"/>
      <c r="V91" s="12">
        <f t="shared" ref="V91:V94" si="64">IF(T$12=0,0,T91/T$12)</f>
        <v>4.4786310369059653E-4</v>
      </c>
      <c r="W91" s="4"/>
      <c r="X91" s="4">
        <f t="shared" ref="X91:X94" si="65">+P91-T91</f>
        <v>3211.71</v>
      </c>
      <c r="Y91" s="4"/>
      <c r="Z91" s="12">
        <f t="shared" ref="Z91:Z94" si="66">IF(T91=0,0,X91/T91)</f>
        <v>5.105732544830218</v>
      </c>
    </row>
    <row r="92" spans="1:26" s="24" customFormat="1" hidden="1" outlineLevel="1" x14ac:dyDescent="0.3">
      <c r="A92" s="44"/>
      <c r="B92" s="11" t="str">
        <f>CONCATENATE("          ", "4187", " - ", "NON-TAXABLE SALES-COMPUTER REP")</f>
        <v xml:space="preserve">          4187 - NON-TAXABLE SALES-COMPUTER REP</v>
      </c>
      <c r="C92" s="11"/>
      <c r="D92" s="2">
        <f>0</f>
        <v>0</v>
      </c>
      <c r="E92" s="2"/>
      <c r="F92" s="19">
        <f t="shared" si="59"/>
        <v>0</v>
      </c>
      <c r="G92" s="2"/>
      <c r="H92" s="2">
        <f>--651.37</f>
        <v>651.37</v>
      </c>
      <c r="I92" s="2"/>
      <c r="J92" s="19">
        <f t="shared" si="60"/>
        <v>5.0418830729285387E-3</v>
      </c>
      <c r="K92" s="2"/>
      <c r="L92" s="2">
        <f t="shared" si="61"/>
        <v>-651.37</v>
      </c>
      <c r="M92" s="2"/>
      <c r="N92" s="19">
        <f t="shared" si="62"/>
        <v>-1</v>
      </c>
      <c r="O92" s="11"/>
      <c r="P92" s="2">
        <f>0</f>
        <v>0</v>
      </c>
      <c r="Q92" s="2"/>
      <c r="R92" s="19">
        <f t="shared" si="63"/>
        <v>0</v>
      </c>
      <c r="S92" s="2"/>
      <c r="T92" s="2">
        <f>--1685.87</f>
        <v>1685.87</v>
      </c>
      <c r="U92" s="2"/>
      <c r="V92" s="19">
        <f t="shared" si="64"/>
        <v>1.200303590580672E-3</v>
      </c>
      <c r="W92" s="2"/>
      <c r="X92" s="2">
        <f t="shared" si="65"/>
        <v>-1685.87</v>
      </c>
      <c r="Y92" s="2"/>
      <c r="Z92" s="19">
        <f t="shared" si="66"/>
        <v>-1</v>
      </c>
    </row>
    <row r="93" spans="1:26" s="24" customFormat="1" hidden="1" outlineLevel="1" x14ac:dyDescent="0.3">
      <c r="A93" s="44"/>
      <c r="B93" s="11" t="str">
        <f>CONCATENATE("          ", "9087", " - ", "")</f>
        <v xml:space="preserve">          9087 - </v>
      </c>
      <c r="C93" s="11"/>
      <c r="D93" s="2">
        <f>--1293.31</f>
        <v>1293.31</v>
      </c>
      <c r="E93" s="2"/>
      <c r="F93" s="19">
        <f t="shared" si="59"/>
        <v>8.3023007845173837E-3</v>
      </c>
      <c r="G93" s="2"/>
      <c r="H93" s="2">
        <f>0</f>
        <v>0</v>
      </c>
      <c r="I93" s="2"/>
      <c r="J93" s="19">
        <f t="shared" si="60"/>
        <v>0</v>
      </c>
      <c r="K93" s="2"/>
      <c r="L93" s="2">
        <f t="shared" si="61"/>
        <v>1293.31</v>
      </c>
      <c r="M93" s="2"/>
      <c r="N93" s="19">
        <f t="shared" si="62"/>
        <v>0</v>
      </c>
      <c r="O93" s="11"/>
      <c r="P93" s="2">
        <f>--1631.01</f>
        <v>1631.01</v>
      </c>
      <c r="Q93" s="2"/>
      <c r="R93" s="19">
        <f t="shared" si="63"/>
        <v>1.4531099614398118E-3</v>
      </c>
      <c r="S93" s="2"/>
      <c r="T93" s="2">
        <f>0</f>
        <v>0</v>
      </c>
      <c r="U93" s="2"/>
      <c r="V93" s="19">
        <f t="shared" si="64"/>
        <v>0</v>
      </c>
      <c r="W93" s="2"/>
      <c r="X93" s="2">
        <f t="shared" si="65"/>
        <v>1631.01</v>
      </c>
      <c r="Y93" s="2"/>
      <c r="Z93" s="19">
        <f t="shared" si="66"/>
        <v>0</v>
      </c>
    </row>
    <row r="94" spans="1:26" s="24" customFormat="1" hidden="1" outlineLevel="1" x14ac:dyDescent="0.3">
      <c r="A94" s="44"/>
      <c r="B94" s="11" t="str">
        <f>CONCATENATE("          ", "9150", " - ", "MISC. INCOME")</f>
        <v xml:space="preserve">          9150 - MISC. INCOME</v>
      </c>
      <c r="C94" s="11"/>
      <c r="D94" s="2">
        <f>-50.59</f>
        <v>-50.59</v>
      </c>
      <c r="E94" s="2"/>
      <c r="F94" s="19">
        <f t="shared" si="59"/>
        <v>-3.2475848535056131E-4</v>
      </c>
      <c r="G94" s="2"/>
      <c r="H94" s="2">
        <f>-365.43</f>
        <v>-365.43</v>
      </c>
      <c r="I94" s="2"/>
      <c r="J94" s="19">
        <f t="shared" si="60"/>
        <v>-2.8285848770134886E-3</v>
      </c>
      <c r="K94" s="2"/>
      <c r="L94" s="2">
        <f t="shared" si="61"/>
        <v>314.84000000000003</v>
      </c>
      <c r="M94" s="2"/>
      <c r="N94" s="19">
        <f t="shared" si="62"/>
        <v>-0.86156035355608473</v>
      </c>
      <c r="O94" s="11"/>
      <c r="P94" s="2">
        <f>--2209.74</f>
        <v>2209.7399999999998</v>
      </c>
      <c r="Q94" s="2"/>
      <c r="R94" s="19">
        <f t="shared" si="63"/>
        <v>1.9687158301862095E-3</v>
      </c>
      <c r="S94" s="2"/>
      <c r="T94" s="2">
        <f>-1056.83</f>
        <v>-1056.83</v>
      </c>
      <c r="U94" s="2"/>
      <c r="V94" s="19">
        <f t="shared" si="64"/>
        <v>-7.5244048689007562E-4</v>
      </c>
      <c r="W94" s="2"/>
      <c r="X94" s="2">
        <f t="shared" si="65"/>
        <v>3266.5699999999997</v>
      </c>
      <c r="Y94" s="2"/>
      <c r="Z94" s="19">
        <f t="shared" si="66"/>
        <v>-3.0909133919362621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10"/>
      <c r="B96" s="25" t="s">
        <v>276</v>
      </c>
      <c r="C96" s="25"/>
      <c r="D96" s="21">
        <f>+D50-D52+D91</f>
        <v>9715.6400000000158</v>
      </c>
      <c r="E96" s="13"/>
      <c r="F96" s="22">
        <f>IF(D$12=0,0,D96/D$12)</f>
        <v>6.2368779019793097E-2</v>
      </c>
      <c r="G96" s="13"/>
      <c r="H96" s="21">
        <f>+H50-H52+H91</f>
        <v>4650.4900000000098</v>
      </c>
      <c r="I96" s="13"/>
      <c r="J96" s="22">
        <f>IF(H$12=0,0,H96/H$12)</f>
        <v>3.5996786483601474E-2</v>
      </c>
      <c r="K96" s="15"/>
      <c r="L96" s="21">
        <f>+D96-H96</f>
        <v>5065.150000000006</v>
      </c>
      <c r="M96" s="15"/>
      <c r="N96" s="22">
        <f>IF(H96=0,0,L96/H96)</f>
        <v>1.0891647976879846</v>
      </c>
      <c r="O96" s="26"/>
      <c r="P96" s="21">
        <f>+P50-P52+P91</f>
        <v>72062.690000000061</v>
      </c>
      <c r="Q96" s="13"/>
      <c r="R96" s="22">
        <f>IF(P$12=0,0,P96/P$12)</f>
        <v>6.4202557119299827E-2</v>
      </c>
      <c r="S96" s="13"/>
      <c r="T96" s="21">
        <f>+T50-T52+T91</f>
        <v>-15855.160000000011</v>
      </c>
      <c r="U96" s="13"/>
      <c r="V96" s="22">
        <f>IF(T$12=0,0,T96/T$12)</f>
        <v>-1.1288536765723967E-2</v>
      </c>
      <c r="W96" s="15"/>
      <c r="X96" s="21">
        <f>+P96-T96</f>
        <v>87917.850000000064</v>
      </c>
      <c r="Y96" s="15"/>
      <c r="Z96" s="22">
        <f>IF(T96=0,0,X96/T96)</f>
        <v>-5.5450623014841858</v>
      </c>
    </row>
    <row r="97" spans="1:26" x14ac:dyDescent="0.3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51"/>
      <c r="B98" s="10" t="s">
        <v>127</v>
      </c>
      <c r="C98" s="10"/>
      <c r="D98" s="4">
        <v>32216.33</v>
      </c>
      <c r="E98" s="4"/>
      <c r="F98" s="12">
        <f>IF(D$12=0,0,D98/D$12)</f>
        <v>0.20681017067313401</v>
      </c>
      <c r="G98" s="4"/>
      <c r="H98" s="4">
        <v>18994.759999999998</v>
      </c>
      <c r="I98" s="4"/>
      <c r="J98" s="12">
        <f>IF(H$12=0,0,H98/H$12)</f>
        <v>0.14702758634622423</v>
      </c>
      <c r="K98" s="4"/>
      <c r="L98" s="4">
        <f>+D98-H98</f>
        <v>13221.570000000003</v>
      </c>
      <c r="M98" s="4"/>
      <c r="N98" s="12">
        <f>IF(H98=0,0,L98/H98)</f>
        <v>0.69606407240733781</v>
      </c>
      <c r="O98" s="10"/>
      <c r="P98" s="4">
        <v>148572.74</v>
      </c>
      <c r="Q98" s="4"/>
      <c r="R98" s="12">
        <f>IF(P$12=0,0,P98/P$12)</f>
        <v>0.13236738492860692</v>
      </c>
      <c r="S98" s="4"/>
      <c r="T98" s="4">
        <v>254960.5</v>
      </c>
      <c r="U98" s="4"/>
      <c r="V98" s="12">
        <f>IF(T$12=0,0,T98/T$12)</f>
        <v>0.18152645435664877</v>
      </c>
      <c r="W98" s="4"/>
      <c r="X98" s="4">
        <f>+P98-T98</f>
        <v>-106387.76000000001</v>
      </c>
      <c r="Y98" s="4"/>
      <c r="Z98" s="12">
        <f>IF(T98=0,0,X98/T98)</f>
        <v>-0.41727153814022178</v>
      </c>
    </row>
    <row r="99" spans="1:26" x14ac:dyDescent="0.3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5" t="s">
        <v>125</v>
      </c>
      <c r="C100" s="25"/>
      <c r="D100" s="36">
        <f>+D96-D98</f>
        <v>-22500.689999999988</v>
      </c>
      <c r="E100" s="13"/>
      <c r="F100" s="31">
        <f>IF(D$12=0,0,D100/D$12)</f>
        <v>-0.14444139165334091</v>
      </c>
      <c r="G100" s="13"/>
      <c r="H100" s="36">
        <f>+H96-H98</f>
        <v>-14344.26999999999</v>
      </c>
      <c r="I100" s="13"/>
      <c r="J100" s="31">
        <f>IF(H$12=0,0,H100/H$12)</f>
        <v>-0.11103079986262278</v>
      </c>
      <c r="K100" s="15"/>
      <c r="L100" s="36">
        <f>D100-H100</f>
        <v>-8156.4199999999983</v>
      </c>
      <c r="M100" s="15"/>
      <c r="N100" s="31">
        <f>IF(H100=0,0,L100/H100)</f>
        <v>0.56861868885624745</v>
      </c>
      <c r="O100" s="26"/>
      <c r="P100" s="36">
        <f>+P96-P98</f>
        <v>-76510.04999999993</v>
      </c>
      <c r="Q100" s="13"/>
      <c r="R100" s="31">
        <f>IF(P$12=0,0,P100/P$12)</f>
        <v>-6.8164827809307105E-2</v>
      </c>
      <c r="S100" s="13"/>
      <c r="T100" s="36">
        <f>+T96-T98</f>
        <v>-270815.66000000003</v>
      </c>
      <c r="U100" s="13"/>
      <c r="V100" s="31">
        <f>IF(T$12=0,0,T100/T$12)</f>
        <v>-0.19281499112237277</v>
      </c>
      <c r="W100" s="15"/>
      <c r="X100" s="36">
        <f>P100-T100</f>
        <v>194305.6100000001</v>
      </c>
      <c r="Y100" s="15"/>
      <c r="Z100" s="31">
        <f>IF(T100=0,0,X100/T100)</f>
        <v>-0.71748291808531339</v>
      </c>
    </row>
    <row r="101" spans="1:26" ht="15" thickTop="1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5" t="s">
        <v>293</v>
      </c>
      <c r="C103" s="25"/>
      <c r="D103" s="35">
        <f>SUM(D100:D102)</f>
        <v>-22500.689999999988</v>
      </c>
      <c r="E103" s="13"/>
      <c r="F103" s="32">
        <f>IF(D$12=0,0,D103/D$12)</f>
        <v>-0.14444139165334091</v>
      </c>
      <c r="G103" s="13"/>
      <c r="H103" s="35">
        <f>SUM(H100:H102)</f>
        <v>-14344.26999999999</v>
      </c>
      <c r="I103" s="13"/>
      <c r="J103" s="32">
        <f>IF(H$12=0,0,H103/H$12)</f>
        <v>-0.11103079986262278</v>
      </c>
      <c r="K103" s="15"/>
      <c r="L103" s="35">
        <f>+D103-H103</f>
        <v>-8156.4199999999983</v>
      </c>
      <c r="M103" s="15"/>
      <c r="N103" s="32">
        <f>IF(H103=0,0,L103/H103)</f>
        <v>0.56861868885624745</v>
      </c>
      <c r="O103" s="26"/>
      <c r="P103" s="35">
        <f>SUM(P100:P102)</f>
        <v>-76510.04999999993</v>
      </c>
      <c r="Q103" s="13"/>
      <c r="R103" s="32">
        <f>IF(P$12=0,0,P103/P$12)</f>
        <v>-6.8164827809307105E-2</v>
      </c>
      <c r="S103" s="13"/>
      <c r="T103" s="35">
        <f>SUM(T100:T102)</f>
        <v>-270815.66000000003</v>
      </c>
      <c r="U103" s="13"/>
      <c r="V103" s="32">
        <f>IF(T$12=0,0,T103/T$12)</f>
        <v>-0.19281499112237277</v>
      </c>
      <c r="W103" s="15"/>
      <c r="X103" s="35">
        <f>+P103-T103</f>
        <v>194305.6100000001</v>
      </c>
      <c r="Y103" s="15"/>
      <c r="Z103" s="32">
        <f>IF(T103=0,0,X103/T103)</f>
        <v>-0.71748291808531339</v>
      </c>
    </row>
    <row r="104" spans="1:26" ht="15" thickTop="1" x14ac:dyDescent="0.3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4">
        <v>44604.028475694446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53" t="s">
        <v>56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A107" s="9"/>
      <c r="B107" s="59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4833.46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1" si="0">+D12-H12</f>
        <v>4833.46</v>
      </c>
      <c r="M12" s="4"/>
      <c r="N12" s="12">
        <f t="shared" ref="N12:N21" si="1">IF(H12=0,0,L12/H12)</f>
        <v>0</v>
      </c>
      <c r="O12" s="10"/>
      <c r="P12" s="4">
        <f>SUM(OSRRefP13x_0)</f>
        <v>81240.959999999992</v>
      </c>
      <c r="Q12" s="4"/>
      <c r="R12" s="12"/>
      <c r="S12" s="4"/>
      <c r="T12" s="4">
        <f>SUM(OSRRefT13x_0)</f>
        <v>2586.4700000000003</v>
      </c>
      <c r="U12" s="4"/>
      <c r="V12" s="12"/>
      <c r="W12" s="4"/>
      <c r="X12" s="4">
        <f t="shared" ref="X12:X21" si="2">+P12-T12</f>
        <v>78654.489999999991</v>
      </c>
      <c r="Y12" s="4"/>
      <c r="Z12" s="12">
        <f t="shared" ref="Z12:Z21" si="3">IF(T12=0,0,X12/T12)</f>
        <v>30.409975758466164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f t="shared" ref="H13:H21" si="4">0</f>
        <v>0</v>
      </c>
      <c r="I13" s="2"/>
      <c r="J13" s="19"/>
      <c r="K13" s="2"/>
      <c r="L13" s="2">
        <f t="shared" si="0"/>
        <v>803.91</v>
      </c>
      <c r="M13" s="2"/>
      <c r="N13" s="19">
        <f t="shared" si="1"/>
        <v>0</v>
      </c>
      <c r="O13" s="11"/>
      <c r="P13" s="2">
        <f>--13554.56</f>
        <v>13554.56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13554.56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6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ref="T15:T17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--698.72</f>
        <v>698.72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698.72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--4029.55</f>
        <v>4029.55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4029.55</v>
      </c>
      <c r="M17" s="2"/>
      <c r="N17" s="19">
        <f t="shared" si="1"/>
        <v>0</v>
      </c>
      <c r="O17" s="11"/>
      <c r="P17" s="2">
        <f>--66987.68</f>
        <v>66987.679999999993</v>
      </c>
      <c r="Q17" s="2"/>
      <c r="R17" s="19"/>
      <c r="S17" s="2"/>
      <c r="T17" s="2">
        <f t="shared" si="7"/>
        <v>0</v>
      </c>
      <c r="U17" s="2"/>
      <c r="V17" s="19"/>
      <c r="W17" s="2"/>
      <c r="X17" s="2">
        <f t="shared" si="2"/>
        <v>66987.679999999993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21" si="8"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9">0</f>
        <v>0</v>
      </c>
      <c r="Q18" s="2"/>
      <c r="R18" s="19"/>
      <c r="S18" s="2"/>
      <c r="T18" s="2">
        <f>--2031.88</f>
        <v>2031.88</v>
      </c>
      <c r="U18" s="2"/>
      <c r="V18" s="19"/>
      <c r="W18" s="2"/>
      <c r="X18" s="2">
        <f t="shared" si="2"/>
        <v>-2031.88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8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ref="T19:T20" si="10"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si="8"/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9"/>
        <v>0</v>
      </c>
      <c r="Q20" s="2"/>
      <c r="R20" s="19"/>
      <c r="S20" s="2"/>
      <c r="T20" s="2">
        <f t="shared" si="10"/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8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>--110</f>
        <v>110</v>
      </c>
      <c r="U21" s="2"/>
      <c r="V21" s="19"/>
      <c r="W21" s="2"/>
      <c r="X21" s="2">
        <f t="shared" si="2"/>
        <v>-110</v>
      </c>
      <c r="Y21" s="2"/>
      <c r="Z21" s="19">
        <f t="shared" si="3"/>
        <v>-1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6" t="s">
        <v>256</v>
      </c>
      <c r="C23" s="10"/>
      <c r="D23" s="4">
        <f>SUM(OSRRefD16x_0)</f>
        <v>5887.78</v>
      </c>
      <c r="E23" s="4"/>
      <c r="F23" s="12">
        <f t="shared" ref="F23:F25" si="11">IF(D$12=0,0,D23/D$12)</f>
        <v>1.2181294559177069</v>
      </c>
      <c r="G23" s="4"/>
      <c r="H23" s="4">
        <f>SUM(OSRRefH16x_0)</f>
        <v>-257.75</v>
      </c>
      <c r="I23" s="4"/>
      <c r="J23" s="12">
        <f t="shared" ref="J23:J25" si="12">IF(H$12=0,0,H23/H$12)</f>
        <v>0</v>
      </c>
      <c r="K23" s="4"/>
      <c r="L23" s="4">
        <f t="shared" ref="L23:L25" si="13">+D23-H23</f>
        <v>6145.53</v>
      </c>
      <c r="M23" s="4"/>
      <c r="N23" s="12">
        <f t="shared" ref="N23:N25" si="14">IF(H23=0,0,L23/H23)</f>
        <v>-23.842987390882637</v>
      </c>
      <c r="O23" s="10"/>
      <c r="P23" s="4">
        <f>SUM(OSRRefP16x_0)</f>
        <v>52345.09</v>
      </c>
      <c r="Q23" s="4"/>
      <c r="R23" s="12">
        <f t="shared" ref="R23:R25" si="15">IF(P$12=0,0,P23/P$12)</f>
        <v>0.64431894945603796</v>
      </c>
      <c r="S23" s="4"/>
      <c r="T23" s="4">
        <f>SUM(OSRRefT16x_0)</f>
        <v>8874.9599999999991</v>
      </c>
      <c r="U23" s="4"/>
      <c r="V23" s="12">
        <f t="shared" ref="V23:V25" si="16">IF(T$12=0,0,T23/T$12)</f>
        <v>3.4313021221974345</v>
      </c>
      <c r="W23" s="4"/>
      <c r="X23" s="4">
        <f t="shared" ref="X23:X25" si="17">+P23-T23</f>
        <v>43470.13</v>
      </c>
      <c r="Y23" s="4"/>
      <c r="Z23" s="12">
        <f t="shared" ref="Z23:Z25" si="18">IF(T23=0,0,X23/T23)</f>
        <v>4.8980648926868406</v>
      </c>
    </row>
    <row r="24" spans="1:26" s="24" customFormat="1" hidden="1" outlineLevel="1" x14ac:dyDescent="0.3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238.42</v>
      </c>
      <c r="E24" s="2"/>
      <c r="F24" s="19">
        <f t="shared" si="11"/>
        <v>4.932698315492421E-2</v>
      </c>
      <c r="G24" s="2"/>
      <c r="H24" s="2">
        <v>-257.75</v>
      </c>
      <c r="I24" s="2"/>
      <c r="J24" s="19">
        <f t="shared" si="12"/>
        <v>0</v>
      </c>
      <c r="K24" s="2"/>
      <c r="L24" s="2">
        <f t="shared" si="13"/>
        <v>496.16999999999996</v>
      </c>
      <c r="M24" s="2"/>
      <c r="N24" s="19">
        <f t="shared" si="14"/>
        <v>-1.9250048496605237</v>
      </c>
      <c r="O24" s="11"/>
      <c r="P24" s="2">
        <v>41937.61</v>
      </c>
      <c r="Q24" s="2"/>
      <c r="R24" s="19">
        <f t="shared" si="15"/>
        <v>0.51621263461190026</v>
      </c>
      <c r="S24" s="2"/>
      <c r="T24" s="2">
        <v>-2822.95</v>
      </c>
      <c r="U24" s="2"/>
      <c r="V24" s="19">
        <f t="shared" si="16"/>
        <v>-1.0914296318921153</v>
      </c>
      <c r="W24" s="2"/>
      <c r="X24" s="2">
        <f t="shared" si="17"/>
        <v>44760.56</v>
      </c>
      <c r="Y24" s="2"/>
      <c r="Z24" s="19">
        <f t="shared" si="18"/>
        <v>-15.855952106838592</v>
      </c>
    </row>
    <row r="25" spans="1:26" s="24" customFormat="1" hidden="1" outlineLevel="1" x14ac:dyDescent="0.3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5649.36</v>
      </c>
      <c r="E25" s="2"/>
      <c r="F25" s="19">
        <f t="shared" si="11"/>
        <v>1.1688024727627826</v>
      </c>
      <c r="G25" s="2"/>
      <c r="H25" s="2"/>
      <c r="I25" s="2"/>
      <c r="J25" s="19">
        <f t="shared" si="12"/>
        <v>0</v>
      </c>
      <c r="K25" s="2"/>
      <c r="L25" s="2">
        <f t="shared" si="13"/>
        <v>5649.36</v>
      </c>
      <c r="M25" s="2"/>
      <c r="N25" s="19">
        <f t="shared" si="14"/>
        <v>0</v>
      </c>
      <c r="O25" s="11"/>
      <c r="P25" s="2">
        <v>10407.48</v>
      </c>
      <c r="Q25" s="2"/>
      <c r="R25" s="19">
        <f t="shared" si="15"/>
        <v>0.12810631484413773</v>
      </c>
      <c r="S25" s="2"/>
      <c r="T25" s="2">
        <v>11697.91</v>
      </c>
      <c r="U25" s="2"/>
      <c r="V25" s="19">
        <f t="shared" si="16"/>
        <v>4.5227317540895502</v>
      </c>
      <c r="W25" s="2"/>
      <c r="X25" s="2">
        <f t="shared" si="17"/>
        <v>-1290.4300000000003</v>
      </c>
      <c r="Y25" s="2"/>
      <c r="Z25" s="19">
        <f t="shared" si="18"/>
        <v>-0.11031286785417227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107</v>
      </c>
      <c r="C27" s="25"/>
      <c r="D27" s="21">
        <f>D12-D23</f>
        <v>-1054.3199999999997</v>
      </c>
      <c r="E27" s="13"/>
      <c r="F27" s="22">
        <f>IF(D$12=0,0,D27/D$12)</f>
        <v>-0.21812945591770691</v>
      </c>
      <c r="G27" s="13"/>
      <c r="H27" s="21">
        <f>H12-H23</f>
        <v>257.75</v>
      </c>
      <c r="I27" s="13"/>
      <c r="J27" s="22">
        <f>IF(H$12=0,0,H27/H$12)</f>
        <v>0</v>
      </c>
      <c r="K27" s="15"/>
      <c r="L27" s="21">
        <f>+D27-H27</f>
        <v>-1312.0699999999997</v>
      </c>
      <c r="M27" s="15"/>
      <c r="N27" s="22">
        <f>IF(H27=0,0,L27/H27)</f>
        <v>-5.0904752667313273</v>
      </c>
      <c r="O27" s="26"/>
      <c r="P27" s="21">
        <f>P12-P23</f>
        <v>28895.869999999995</v>
      </c>
      <c r="Q27" s="13"/>
      <c r="R27" s="22">
        <f>IF(P$12=0,0,P27/P$12)</f>
        <v>0.35568105054396204</v>
      </c>
      <c r="S27" s="13"/>
      <c r="T27" s="21">
        <f>T12-T23</f>
        <v>-6288.4899999999989</v>
      </c>
      <c r="U27" s="13"/>
      <c r="V27" s="22">
        <f>IF(T$12=0,0,T27/T$12)</f>
        <v>-2.4313021221974345</v>
      </c>
      <c r="W27" s="15"/>
      <c r="X27" s="21">
        <f>+P27-T27</f>
        <v>35184.359999999993</v>
      </c>
      <c r="Y27" s="15"/>
      <c r="Z27" s="22">
        <f>IF(T27=0,0,X27/T27)</f>
        <v>-5.5950410988965551</v>
      </c>
    </row>
    <row r="28" spans="1:26" x14ac:dyDescent="0.3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6" t="s">
        <v>294</v>
      </c>
      <c r="C29" s="10"/>
      <c r="D29" s="20">
        <f>SUM(OSRRefD22x_0)</f>
        <v>31687.64</v>
      </c>
      <c r="E29" s="20"/>
      <c r="F29" s="30">
        <f t="shared" ref="F29:F39" si="19">IF(D$12=0,0,D29/D$12)</f>
        <v>6.5558916387018824</v>
      </c>
      <c r="G29" s="20"/>
      <c r="H29" s="20">
        <f>SUM(OSRRefH22x_0)</f>
        <v>15948.990000000002</v>
      </c>
      <c r="I29" s="20"/>
      <c r="J29" s="30">
        <f t="shared" ref="J29:J39" si="20">IF(H$12=0,0,H29/H$12)</f>
        <v>0</v>
      </c>
      <c r="K29" s="4"/>
      <c r="L29" s="20">
        <f t="shared" ref="L29:L39" si="21">+D29-H29</f>
        <v>15738.649999999998</v>
      </c>
      <c r="M29" s="4"/>
      <c r="N29" s="30">
        <f t="shared" ref="N29:N39" si="22">IF(H29=0,0,L29/H29)</f>
        <v>0.98681170406401886</v>
      </c>
      <c r="O29" s="10"/>
      <c r="P29" s="20">
        <f>SUM(OSRRefP22x_0)</f>
        <v>149540.99000000005</v>
      </c>
      <c r="Q29" s="20"/>
      <c r="R29" s="30">
        <f t="shared" ref="R29:R39" si="23">IF(P$12=0,0,P29/P$12)</f>
        <v>1.8407092924554322</v>
      </c>
      <c r="S29" s="20"/>
      <c r="T29" s="20">
        <f>SUM(OSRRefT22x_0)</f>
        <v>187959.88999999998</v>
      </c>
      <c r="U29" s="20"/>
      <c r="V29" s="30">
        <f t="shared" ref="V29:V39" si="24">IF(T$12=0,0,T29/T$12)</f>
        <v>72.670431128139882</v>
      </c>
      <c r="W29" s="4"/>
      <c r="X29" s="20">
        <f t="shared" ref="X29:X39" si="25">+P29-T29</f>
        <v>-38418.899999999936</v>
      </c>
      <c r="Y29" s="4"/>
      <c r="Z29" s="30">
        <f t="shared" ref="Z29:Z39" si="26">IF(T29=0,0,X29/T29)</f>
        <v>-0.20439945990604666</v>
      </c>
    </row>
    <row r="30" spans="1:26" s="29" customFormat="1" outlineLevel="1" collapsed="1" x14ac:dyDescent="0.3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6243.2500000000009</v>
      </c>
      <c r="E30" s="1"/>
      <c r="F30" s="5">
        <f t="shared" si="19"/>
        <v>1.2916730458098342</v>
      </c>
      <c r="G30" s="1"/>
      <c r="H30" s="1">
        <f>SUM(OSRRefH22_0x_0)</f>
        <v>0</v>
      </c>
      <c r="I30" s="1"/>
      <c r="J30" s="5">
        <f t="shared" si="20"/>
        <v>0</v>
      </c>
      <c r="K30" s="1"/>
      <c r="L30" s="1">
        <f t="shared" si="21"/>
        <v>6243.2500000000009</v>
      </c>
      <c r="M30" s="1"/>
      <c r="N30" s="5">
        <f t="shared" si="22"/>
        <v>0</v>
      </c>
      <c r="O30" s="14"/>
      <c r="P30" s="1">
        <f>SUM(OSRRefP22_0x_0)</f>
        <v>8994.4700000000012</v>
      </c>
      <c r="Q30" s="1"/>
      <c r="R30" s="5">
        <f t="shared" si="23"/>
        <v>0.11071348738370401</v>
      </c>
      <c r="S30" s="1"/>
      <c r="T30" s="1">
        <f>SUM(OSRRefT22_0x_0)</f>
        <v>35025.26</v>
      </c>
      <c r="U30" s="1"/>
      <c r="V30" s="5">
        <f t="shared" si="24"/>
        <v>13.541722888724786</v>
      </c>
      <c r="W30" s="1"/>
      <c r="X30" s="1">
        <f t="shared" si="25"/>
        <v>-26030.79</v>
      </c>
      <c r="Y30" s="1"/>
      <c r="Z30" s="5">
        <f t="shared" si="26"/>
        <v>-0.74320047874020068</v>
      </c>
    </row>
    <row r="31" spans="1:26" s="24" customFormat="1" hidden="1" outlineLevel="2" x14ac:dyDescent="0.3">
      <c r="A31" s="27"/>
      <c r="B31" s="11" t="str">
        <f>CONCATENATE("          ", "6111", " - ", "F.I.C.A.")</f>
        <v xml:space="preserve">          6111 - F.I.C.A.</v>
      </c>
      <c r="C31" s="11"/>
      <c r="D31" s="7">
        <v>783.1</v>
      </c>
      <c r="E31" s="2"/>
      <c r="F31" s="6">
        <f t="shared" si="19"/>
        <v>0.1620164437069925</v>
      </c>
      <c r="G31" s="2"/>
      <c r="H31" s="7"/>
      <c r="I31" s="2"/>
      <c r="J31" s="6">
        <f t="shared" si="20"/>
        <v>0</v>
      </c>
      <c r="K31" s="2"/>
      <c r="L31" s="7">
        <f t="shared" si="21"/>
        <v>783.1</v>
      </c>
      <c r="M31" s="2"/>
      <c r="N31" s="6">
        <f t="shared" si="22"/>
        <v>0</v>
      </c>
      <c r="O31" s="11"/>
      <c r="P31" s="7">
        <v>2129.4299999999998</v>
      </c>
      <c r="Q31" s="2"/>
      <c r="R31" s="6">
        <f t="shared" si="23"/>
        <v>2.6211285538723324E-2</v>
      </c>
      <c r="S31" s="2"/>
      <c r="T31" s="7">
        <v>3909.68</v>
      </c>
      <c r="U31" s="2"/>
      <c r="V31" s="6">
        <f t="shared" si="24"/>
        <v>1.5115891543300326</v>
      </c>
      <c r="W31" s="2"/>
      <c r="X31" s="7">
        <f t="shared" si="25"/>
        <v>-1780.25</v>
      </c>
      <c r="Y31" s="2"/>
      <c r="Z31" s="6">
        <f t="shared" si="26"/>
        <v>-0.4553441713899859</v>
      </c>
    </row>
    <row r="32" spans="1:26" s="24" customFormat="1" hidden="1" outlineLevel="2" x14ac:dyDescent="0.3">
      <c r="A32" s="27"/>
      <c r="B32" s="11" t="str">
        <f>CONCATENATE("          ", "6112", " - ", "COMPENSATION INSURANCE")</f>
        <v xml:space="preserve">          6112 - COMPENSATION INSURANCE</v>
      </c>
      <c r="C32" s="11"/>
      <c r="D32" s="7">
        <v>263.61</v>
      </c>
      <c r="E32" s="2"/>
      <c r="F32" s="6">
        <f t="shared" si="19"/>
        <v>5.4538570713319239E-2</v>
      </c>
      <c r="G32" s="2"/>
      <c r="H32" s="7"/>
      <c r="I32" s="2"/>
      <c r="J32" s="6">
        <f t="shared" si="20"/>
        <v>0</v>
      </c>
      <c r="K32" s="2"/>
      <c r="L32" s="7">
        <f t="shared" si="21"/>
        <v>263.61</v>
      </c>
      <c r="M32" s="2"/>
      <c r="N32" s="6">
        <f t="shared" si="22"/>
        <v>0</v>
      </c>
      <c r="O32" s="11"/>
      <c r="P32" s="7">
        <v>681.23</v>
      </c>
      <c r="Q32" s="2"/>
      <c r="R32" s="6">
        <f t="shared" si="23"/>
        <v>8.3853021923916225E-3</v>
      </c>
      <c r="S32" s="2"/>
      <c r="T32" s="7">
        <v>830.67</v>
      </c>
      <c r="U32" s="2"/>
      <c r="V32" s="6">
        <f t="shared" si="24"/>
        <v>0.32115972735040416</v>
      </c>
      <c r="W32" s="2"/>
      <c r="X32" s="7">
        <f t="shared" si="25"/>
        <v>-149.43999999999994</v>
      </c>
      <c r="Y32" s="2"/>
      <c r="Z32" s="6">
        <f t="shared" si="26"/>
        <v>-0.17990296989177404</v>
      </c>
    </row>
    <row r="33" spans="1:26" s="24" customFormat="1" hidden="1" outlineLevel="2" x14ac:dyDescent="0.3">
      <c r="A33" s="27"/>
      <c r="B33" s="11" t="str">
        <f>CONCATENATE("          ", "6113", " - ", "GROUP INSURANCE")</f>
        <v xml:space="preserve">          6113 - GROUP INSURANCE</v>
      </c>
      <c r="C33" s="11"/>
      <c r="D33" s="7">
        <v>3036.65</v>
      </c>
      <c r="E33" s="2"/>
      <c r="F33" s="6">
        <f t="shared" si="19"/>
        <v>0.62825594915443594</v>
      </c>
      <c r="G33" s="2"/>
      <c r="H33" s="7"/>
      <c r="I33" s="2"/>
      <c r="J33" s="6">
        <f t="shared" si="20"/>
        <v>0</v>
      </c>
      <c r="K33" s="2"/>
      <c r="L33" s="7">
        <f t="shared" si="21"/>
        <v>3036.65</v>
      </c>
      <c r="M33" s="2"/>
      <c r="N33" s="6">
        <f t="shared" si="22"/>
        <v>0</v>
      </c>
      <c r="O33" s="11"/>
      <c r="P33" s="7">
        <v>3070.46</v>
      </c>
      <c r="Q33" s="2"/>
      <c r="R33" s="6">
        <f t="shared" si="23"/>
        <v>3.7794481995289078E-2</v>
      </c>
      <c r="S33" s="2"/>
      <c r="T33" s="7">
        <v>18067.72</v>
      </c>
      <c r="U33" s="2"/>
      <c r="V33" s="6">
        <f t="shared" si="24"/>
        <v>6.9854744110699132</v>
      </c>
      <c r="W33" s="2"/>
      <c r="X33" s="7">
        <f t="shared" si="25"/>
        <v>-14997.260000000002</v>
      </c>
      <c r="Y33" s="2"/>
      <c r="Z33" s="6">
        <f t="shared" si="26"/>
        <v>-0.83005824752652801</v>
      </c>
    </row>
    <row r="34" spans="1:26" s="24" customFormat="1" hidden="1" outlineLevel="2" x14ac:dyDescent="0.3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>
        <v>27.27</v>
      </c>
      <c r="E34" s="2"/>
      <c r="F34" s="6">
        <f t="shared" si="19"/>
        <v>5.6419211082744036E-3</v>
      </c>
      <c r="G34" s="2"/>
      <c r="H34" s="7"/>
      <c r="I34" s="2"/>
      <c r="J34" s="6">
        <f t="shared" si="20"/>
        <v>0</v>
      </c>
      <c r="K34" s="2"/>
      <c r="L34" s="7">
        <f t="shared" si="21"/>
        <v>27.27</v>
      </c>
      <c r="M34" s="2"/>
      <c r="N34" s="6">
        <f t="shared" si="22"/>
        <v>0</v>
      </c>
      <c r="O34" s="11"/>
      <c r="P34" s="7">
        <v>97.25</v>
      </c>
      <c r="Q34" s="2"/>
      <c r="R34" s="6">
        <f t="shared" si="23"/>
        <v>1.1970562632445507E-3</v>
      </c>
      <c r="S34" s="2"/>
      <c r="T34" s="7">
        <v>132.15</v>
      </c>
      <c r="U34" s="2"/>
      <c r="V34" s="6">
        <f t="shared" si="24"/>
        <v>5.1092802158927031E-2</v>
      </c>
      <c r="W34" s="2"/>
      <c r="X34" s="7">
        <f t="shared" si="25"/>
        <v>-34.900000000000006</v>
      </c>
      <c r="Y34" s="2"/>
      <c r="Z34" s="6">
        <f t="shared" si="26"/>
        <v>-0.26409383276579645</v>
      </c>
    </row>
    <row r="35" spans="1:26" s="24" customFormat="1" hidden="1" outlineLevel="2" x14ac:dyDescent="0.3">
      <c r="A35" s="27"/>
      <c r="B35" s="11" t="str">
        <f>CONCATENATE("          ", "6115", " - ", "P.E.R.S.")</f>
        <v xml:space="preserve">          6115 - P.E.R.S.</v>
      </c>
      <c r="C35" s="11"/>
      <c r="D35" s="7">
        <v>548.17999999999995</v>
      </c>
      <c r="E35" s="2"/>
      <c r="F35" s="6">
        <f t="shared" si="19"/>
        <v>0.11341357950619224</v>
      </c>
      <c r="G35" s="2"/>
      <c r="H35" s="7"/>
      <c r="I35" s="2"/>
      <c r="J35" s="6">
        <f t="shared" si="20"/>
        <v>0</v>
      </c>
      <c r="K35" s="2"/>
      <c r="L35" s="7">
        <f t="shared" si="21"/>
        <v>548.17999999999995</v>
      </c>
      <c r="M35" s="2"/>
      <c r="N35" s="6">
        <f t="shared" si="22"/>
        <v>0</v>
      </c>
      <c r="O35" s="11"/>
      <c r="P35" s="7">
        <v>548.17999999999995</v>
      </c>
      <c r="Q35" s="2"/>
      <c r="R35" s="6">
        <f t="shared" si="23"/>
        <v>6.7475815155310821E-3</v>
      </c>
      <c r="S35" s="2"/>
      <c r="T35" s="7">
        <v>5525.49</v>
      </c>
      <c r="U35" s="2"/>
      <c r="V35" s="6">
        <f t="shared" si="24"/>
        <v>2.1363054665238721</v>
      </c>
      <c r="W35" s="2"/>
      <c r="X35" s="7">
        <f t="shared" si="25"/>
        <v>-4977.3099999999995</v>
      </c>
      <c r="Y35" s="2"/>
      <c r="Z35" s="6">
        <f t="shared" si="26"/>
        <v>-0.90079069910541865</v>
      </c>
    </row>
    <row r="36" spans="1:26" s="24" customFormat="1" hidden="1" outlineLevel="2" x14ac:dyDescent="0.3">
      <c r="A36" s="27"/>
      <c r="B36" s="11" t="str">
        <f>CONCATENATE("          ", "6117", " - ", "RETIREMENT STAFF HOURLY")</f>
        <v xml:space="preserve">          6117 - RETIREMENT STAFF HOURLY</v>
      </c>
      <c r="C36" s="11"/>
      <c r="D36" s="7">
        <v>211.66</v>
      </c>
      <c r="E36" s="2"/>
      <c r="F36" s="6">
        <f t="shared" si="19"/>
        <v>4.3790576522822158E-2</v>
      </c>
      <c r="G36" s="2"/>
      <c r="H36" s="7"/>
      <c r="I36" s="2"/>
      <c r="J36" s="6">
        <f t="shared" si="20"/>
        <v>0</v>
      </c>
      <c r="K36" s="2"/>
      <c r="L36" s="7">
        <f t="shared" si="21"/>
        <v>211.66</v>
      </c>
      <c r="M36" s="2"/>
      <c r="N36" s="6">
        <f t="shared" si="22"/>
        <v>0</v>
      </c>
      <c r="O36" s="11"/>
      <c r="P36" s="7">
        <v>211.66</v>
      </c>
      <c r="Q36" s="2"/>
      <c r="R36" s="6">
        <f t="shared" si="23"/>
        <v>2.6053360275407876E-3</v>
      </c>
      <c r="S36" s="2"/>
      <c r="T36" s="7"/>
      <c r="U36" s="2"/>
      <c r="V36" s="6">
        <f t="shared" si="24"/>
        <v>0</v>
      </c>
      <c r="W36" s="2"/>
      <c r="X36" s="7">
        <f t="shared" si="25"/>
        <v>211.66</v>
      </c>
      <c r="Y36" s="2"/>
      <c r="Z36" s="6">
        <f t="shared" si="26"/>
        <v>0</v>
      </c>
    </row>
    <row r="37" spans="1:26" s="24" customFormat="1" hidden="1" outlineLevel="2" x14ac:dyDescent="0.3">
      <c r="A37" s="27"/>
      <c r="B37" s="11" t="str">
        <f>CONCATENATE("          ", "6118", " - ", "VACATION")</f>
        <v xml:space="preserve">          6118 - VACATION</v>
      </c>
      <c r="C37" s="11"/>
      <c r="D37" s="7">
        <v>531.67999999999995</v>
      </c>
      <c r="E37" s="2"/>
      <c r="F37" s="6">
        <f t="shared" si="19"/>
        <v>0.10999987586532214</v>
      </c>
      <c r="G37" s="2"/>
      <c r="H37" s="7"/>
      <c r="I37" s="2"/>
      <c r="J37" s="6">
        <f t="shared" si="20"/>
        <v>0</v>
      </c>
      <c r="K37" s="2"/>
      <c r="L37" s="7">
        <f t="shared" si="21"/>
        <v>531.67999999999995</v>
      </c>
      <c r="M37" s="2"/>
      <c r="N37" s="6">
        <f t="shared" si="22"/>
        <v>0</v>
      </c>
      <c r="O37" s="11"/>
      <c r="P37" s="7">
        <v>776.54</v>
      </c>
      <c r="Q37" s="2"/>
      <c r="R37" s="6">
        <f t="shared" si="23"/>
        <v>9.5584788756804453E-3</v>
      </c>
      <c r="S37" s="2"/>
      <c r="T37" s="7">
        <v>3386</v>
      </c>
      <c r="U37" s="2"/>
      <c r="V37" s="6">
        <f t="shared" si="24"/>
        <v>1.3091201521765183</v>
      </c>
      <c r="W37" s="2"/>
      <c r="X37" s="7">
        <f t="shared" si="25"/>
        <v>-2609.46</v>
      </c>
      <c r="Y37" s="2"/>
      <c r="Z37" s="6">
        <f t="shared" si="26"/>
        <v>-0.77066154754873006</v>
      </c>
    </row>
    <row r="38" spans="1:26" s="24" customFormat="1" hidden="1" outlineLevel="2" x14ac:dyDescent="0.3">
      <c r="A38" s="27"/>
      <c r="B38" s="11" t="str">
        <f>CONCATENATE("          ", "6119", " - ", "SICK LEAVE")</f>
        <v xml:space="preserve">          6119 - SICK LEAVE</v>
      </c>
      <c r="C38" s="11"/>
      <c r="D38" s="7">
        <v>427.98</v>
      </c>
      <c r="E38" s="2"/>
      <c r="F38" s="6">
        <f t="shared" si="19"/>
        <v>8.8545265710277946E-2</v>
      </c>
      <c r="G38" s="2"/>
      <c r="H38" s="7"/>
      <c r="I38" s="2"/>
      <c r="J38" s="6">
        <f t="shared" si="20"/>
        <v>0</v>
      </c>
      <c r="K38" s="2"/>
      <c r="L38" s="7">
        <f t="shared" si="21"/>
        <v>427.98</v>
      </c>
      <c r="M38" s="2"/>
      <c r="N38" s="6">
        <f t="shared" si="22"/>
        <v>0</v>
      </c>
      <c r="O38" s="11"/>
      <c r="P38" s="7">
        <v>721.35</v>
      </c>
      <c r="Q38" s="2"/>
      <c r="R38" s="6">
        <f t="shared" si="23"/>
        <v>8.8791417531255187E-3</v>
      </c>
      <c r="S38" s="2"/>
      <c r="T38" s="7">
        <v>2447.1799999999998</v>
      </c>
      <c r="U38" s="2"/>
      <c r="V38" s="6">
        <f t="shared" si="24"/>
        <v>0.94614667867788904</v>
      </c>
      <c r="W38" s="2"/>
      <c r="X38" s="7">
        <f t="shared" si="25"/>
        <v>-1725.83</v>
      </c>
      <c r="Y38" s="2"/>
      <c r="Z38" s="6">
        <f t="shared" si="26"/>
        <v>-0.70523214475437035</v>
      </c>
    </row>
    <row r="39" spans="1:26" s="24" customFormat="1" hidden="1" outlineLevel="2" x14ac:dyDescent="0.3">
      <c r="A39" s="27"/>
      <c r="B39" s="11" t="str">
        <f>CONCATENATE("          ", "6156", " - ", "EMPLOYEE MEALS")</f>
        <v xml:space="preserve">          6156 - EMPLOYEE MEALS</v>
      </c>
      <c r="C39" s="11"/>
      <c r="D39" s="7">
        <v>413.12</v>
      </c>
      <c r="E39" s="2"/>
      <c r="F39" s="6">
        <f t="shared" si="19"/>
        <v>8.5470863522197349E-2</v>
      </c>
      <c r="G39" s="2"/>
      <c r="H39" s="7"/>
      <c r="I39" s="2"/>
      <c r="J39" s="6">
        <f t="shared" si="20"/>
        <v>0</v>
      </c>
      <c r="K39" s="2"/>
      <c r="L39" s="7">
        <f t="shared" si="21"/>
        <v>413.12</v>
      </c>
      <c r="M39" s="2"/>
      <c r="N39" s="6">
        <f t="shared" si="22"/>
        <v>0</v>
      </c>
      <c r="O39" s="11"/>
      <c r="P39" s="7">
        <v>758.37</v>
      </c>
      <c r="Q39" s="2"/>
      <c r="R39" s="6">
        <f t="shared" si="23"/>
        <v>9.3348232221775827E-3</v>
      </c>
      <c r="S39" s="2"/>
      <c r="T39" s="7">
        <v>726.37</v>
      </c>
      <c r="U39" s="2"/>
      <c r="V39" s="6">
        <f t="shared" si="24"/>
        <v>0.28083449643722908</v>
      </c>
      <c r="W39" s="2"/>
      <c r="X39" s="7">
        <f t="shared" si="25"/>
        <v>32</v>
      </c>
      <c r="Y39" s="2"/>
      <c r="Z39" s="6">
        <f t="shared" si="26"/>
        <v>4.4054682875118739E-2</v>
      </c>
    </row>
    <row r="40" spans="1:26" s="29" customFormat="1" outlineLevel="1" collapsed="1" x14ac:dyDescent="0.3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13305.04</v>
      </c>
      <c r="E40" s="1"/>
      <c r="F40" s="5">
        <f t="shared" ref="F40:F44" si="27">IF(D$12=0,0,D40/D$12)</f>
        <v>2.7526947569649902</v>
      </c>
      <c r="G40" s="1"/>
      <c r="H40" s="1">
        <f>SUM(OSRRefH22_1x_0)</f>
        <v>0</v>
      </c>
      <c r="I40" s="1"/>
      <c r="J40" s="5">
        <f t="shared" ref="J40:J44" si="28">IF(H$12=0,0,H40/H$12)</f>
        <v>0</v>
      </c>
      <c r="K40" s="1"/>
      <c r="L40" s="1">
        <f t="shared" ref="L40:L44" si="29">+D40-H40</f>
        <v>13305.04</v>
      </c>
      <c r="M40" s="1"/>
      <c r="N40" s="5">
        <f t="shared" ref="N40:N44" si="30">IF(H40=0,0,L40/H40)</f>
        <v>0</v>
      </c>
      <c r="O40" s="14"/>
      <c r="P40" s="1">
        <f>SUM(OSRRefP22_1x_0)</f>
        <v>38874.839999999997</v>
      </c>
      <c r="Q40" s="1"/>
      <c r="R40" s="5">
        <f t="shared" ref="R40:R44" si="31">IF(P$12=0,0,P40/P$12)</f>
        <v>0.47851280930210577</v>
      </c>
      <c r="S40" s="1"/>
      <c r="T40" s="1">
        <f>SUM(OSRRefT22_1x_0)</f>
        <v>41960.38</v>
      </c>
      <c r="U40" s="1"/>
      <c r="V40" s="5">
        <f t="shared" ref="V40:V44" si="32">IF(T$12=0,0,T40/T$12)</f>
        <v>16.223029843763893</v>
      </c>
      <c r="W40" s="1"/>
      <c r="X40" s="1">
        <f t="shared" ref="X40:X44" si="33">+P40-T40</f>
        <v>-3085.5400000000009</v>
      </c>
      <c r="Y40" s="1"/>
      <c r="Z40" s="5">
        <f t="shared" ref="Z40:Z44" si="34">IF(T40=0,0,X40/T40)</f>
        <v>-7.3534605739986172E-2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7">
        <v>6046.54</v>
      </c>
      <c r="E41" s="2"/>
      <c r="F41" s="6">
        <f t="shared" si="27"/>
        <v>1.2509754916767699</v>
      </c>
      <c r="G41" s="2"/>
      <c r="H41" s="7"/>
      <c r="I41" s="2"/>
      <c r="J41" s="6">
        <f t="shared" si="28"/>
        <v>0</v>
      </c>
      <c r="K41" s="2"/>
      <c r="L41" s="7">
        <f t="shared" si="29"/>
        <v>6046.54</v>
      </c>
      <c r="M41" s="2"/>
      <c r="N41" s="6">
        <f t="shared" si="30"/>
        <v>0</v>
      </c>
      <c r="O41" s="11"/>
      <c r="P41" s="7">
        <v>6046.54</v>
      </c>
      <c r="Q41" s="2"/>
      <c r="R41" s="6">
        <f t="shared" si="31"/>
        <v>7.4427234734793887E-2</v>
      </c>
      <c r="S41" s="2"/>
      <c r="T41" s="7">
        <v>39828.42</v>
      </c>
      <c r="U41" s="2"/>
      <c r="V41" s="6">
        <f t="shared" si="32"/>
        <v>15.398755833239896</v>
      </c>
      <c r="W41" s="2"/>
      <c r="X41" s="7">
        <f t="shared" si="33"/>
        <v>-33781.879999999997</v>
      </c>
      <c r="Y41" s="2"/>
      <c r="Z41" s="6">
        <f t="shared" si="34"/>
        <v>-0.84818529080490768</v>
      </c>
    </row>
    <row r="42" spans="1:26" s="24" customFormat="1" hidden="1" outlineLevel="2" x14ac:dyDescent="0.3">
      <c r="A42" s="27"/>
      <c r="B42" s="11" t="str">
        <f>CONCATENATE("          ", "6004", " - ", "STAFF HOURLY")</f>
        <v xml:space="preserve">          6004 - STAFF HOURLY</v>
      </c>
      <c r="C42" s="11"/>
      <c r="D42" s="7">
        <v>4021.12</v>
      </c>
      <c r="E42" s="2"/>
      <c r="F42" s="6">
        <f t="shared" si="27"/>
        <v>0.83193405965912615</v>
      </c>
      <c r="G42" s="2"/>
      <c r="H42" s="7"/>
      <c r="I42" s="2"/>
      <c r="J42" s="6">
        <f t="shared" si="28"/>
        <v>0</v>
      </c>
      <c r="K42" s="2"/>
      <c r="L42" s="7">
        <f t="shared" si="29"/>
        <v>4021.12</v>
      </c>
      <c r="M42" s="2"/>
      <c r="N42" s="6">
        <f t="shared" si="30"/>
        <v>0</v>
      </c>
      <c r="O42" s="11"/>
      <c r="P42" s="7">
        <v>7559.93</v>
      </c>
      <c r="Q42" s="2"/>
      <c r="R42" s="6">
        <f t="shared" si="31"/>
        <v>9.3055645822009009E-2</v>
      </c>
      <c r="S42" s="2"/>
      <c r="T42" s="7"/>
      <c r="U42" s="2"/>
      <c r="V42" s="6">
        <f t="shared" si="32"/>
        <v>0</v>
      </c>
      <c r="W42" s="2"/>
      <c r="X42" s="7">
        <f t="shared" si="33"/>
        <v>7559.93</v>
      </c>
      <c r="Y42" s="2"/>
      <c r="Z42" s="6">
        <f t="shared" si="34"/>
        <v>0</v>
      </c>
    </row>
    <row r="43" spans="1:26" s="24" customFormat="1" hidden="1" outlineLevel="2" x14ac:dyDescent="0.3">
      <c r="A43" s="27"/>
      <c r="B43" s="11" t="str">
        <f>CONCATENATE("          ", "6005", " - ", "TEMPORARY WAGES-HOURLY")</f>
        <v xml:space="preserve">          6005 - TEMPORARY WAGES-HOURLY</v>
      </c>
      <c r="C43" s="11"/>
      <c r="D43" s="7">
        <v>890.08</v>
      </c>
      <c r="E43" s="2"/>
      <c r="F43" s="6">
        <f t="shared" si="27"/>
        <v>0.18414965676761574</v>
      </c>
      <c r="G43" s="2"/>
      <c r="H43" s="7"/>
      <c r="I43" s="2"/>
      <c r="J43" s="6">
        <f t="shared" si="28"/>
        <v>0</v>
      </c>
      <c r="K43" s="2"/>
      <c r="L43" s="7">
        <f t="shared" si="29"/>
        <v>890.08</v>
      </c>
      <c r="M43" s="2"/>
      <c r="N43" s="6">
        <f t="shared" si="30"/>
        <v>0</v>
      </c>
      <c r="O43" s="11"/>
      <c r="P43" s="7">
        <v>14095.03</v>
      </c>
      <c r="Q43" s="2"/>
      <c r="R43" s="6">
        <f t="shared" si="31"/>
        <v>0.17349659580585952</v>
      </c>
      <c r="S43" s="2"/>
      <c r="T43" s="7">
        <v>2131.96</v>
      </c>
      <c r="U43" s="2"/>
      <c r="V43" s="6">
        <f t="shared" si="32"/>
        <v>0.82427401052399596</v>
      </c>
      <c r="W43" s="2"/>
      <c r="X43" s="7">
        <f t="shared" si="33"/>
        <v>11963.07</v>
      </c>
      <c r="Y43" s="2"/>
      <c r="Z43" s="6">
        <f t="shared" si="34"/>
        <v>5.6113013377361671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2347.3000000000002</v>
      </c>
      <c r="E44" s="2"/>
      <c r="F44" s="6">
        <f t="shared" si="27"/>
        <v>0.48563554886147814</v>
      </c>
      <c r="G44" s="2"/>
      <c r="H44" s="7"/>
      <c r="I44" s="2"/>
      <c r="J44" s="6">
        <f t="shared" si="28"/>
        <v>0</v>
      </c>
      <c r="K44" s="2"/>
      <c r="L44" s="7">
        <f t="shared" si="29"/>
        <v>2347.3000000000002</v>
      </c>
      <c r="M44" s="2"/>
      <c r="N44" s="6">
        <f t="shared" si="30"/>
        <v>0</v>
      </c>
      <c r="O44" s="11"/>
      <c r="P44" s="7">
        <v>11173.34</v>
      </c>
      <c r="Q44" s="2"/>
      <c r="R44" s="6">
        <f t="shared" si="31"/>
        <v>0.13753333293944336</v>
      </c>
      <c r="S44" s="2"/>
      <c r="T44" s="7">
        <v>0</v>
      </c>
      <c r="U44" s="2"/>
      <c r="V44" s="6">
        <f t="shared" si="32"/>
        <v>0</v>
      </c>
      <c r="W44" s="2"/>
      <c r="X44" s="7">
        <f t="shared" si="33"/>
        <v>11173.34</v>
      </c>
      <c r="Y44" s="2"/>
      <c r="Z44" s="6">
        <f t="shared" si="34"/>
        <v>0</v>
      </c>
    </row>
    <row r="45" spans="1:26" s="29" customFormat="1" outlineLevel="1" collapsed="1" x14ac:dyDescent="0.3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35">IF(D$12=0,0,D45/D$12)</f>
        <v>0</v>
      </c>
      <c r="G45" s="1"/>
      <c r="H45" s="1">
        <f>SUM(OSRRefH22_2x_0)</f>
        <v>0</v>
      </c>
      <c r="I45" s="1"/>
      <c r="J45" s="5">
        <f t="shared" ref="J45:J53" si="36">IF(H$12=0,0,H45/H$12)</f>
        <v>0</v>
      </c>
      <c r="K45" s="1"/>
      <c r="L45" s="1">
        <f t="shared" ref="L45:L53" si="37">+D45-H45</f>
        <v>0</v>
      </c>
      <c r="M45" s="1"/>
      <c r="N45" s="5">
        <f t="shared" ref="N45:N53" si="38">IF(H45=0,0,L45/H45)</f>
        <v>0</v>
      </c>
      <c r="O45" s="14"/>
      <c r="P45" s="1">
        <f>SUM(OSRRefP22_2x_0)</f>
        <v>91.22</v>
      </c>
      <c r="Q45" s="1"/>
      <c r="R45" s="5">
        <f t="shared" ref="R45:R53" si="39">IF(P$12=0,0,P45/P$12)</f>
        <v>1.122832620392472E-3</v>
      </c>
      <c r="S45" s="1"/>
      <c r="T45" s="1">
        <f>SUM(OSRRefT22_2x_0)</f>
        <v>0</v>
      </c>
      <c r="U45" s="1"/>
      <c r="V45" s="5">
        <f t="shared" ref="V45:V53" si="40">IF(T$12=0,0,T45/T$12)</f>
        <v>0</v>
      </c>
      <c r="W45" s="1"/>
      <c r="X45" s="1">
        <f t="shared" ref="X45:X53" si="41">+P45-T45</f>
        <v>91.22</v>
      </c>
      <c r="Y45" s="1"/>
      <c r="Z45" s="5">
        <f t="shared" ref="Z45:Z53" si="42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5"/>
        <v>0</v>
      </c>
      <c r="G46" s="2"/>
      <c r="H46" s="7"/>
      <c r="I46" s="2"/>
      <c r="J46" s="6">
        <f t="shared" si="36"/>
        <v>0</v>
      </c>
      <c r="K46" s="2"/>
      <c r="L46" s="7">
        <f t="shared" si="37"/>
        <v>0</v>
      </c>
      <c r="M46" s="2"/>
      <c r="N46" s="6">
        <f t="shared" si="38"/>
        <v>0</v>
      </c>
      <c r="O46" s="11"/>
      <c r="P46" s="7">
        <v>91.22</v>
      </c>
      <c r="Q46" s="2"/>
      <c r="R46" s="6">
        <f t="shared" si="39"/>
        <v>1.122832620392472E-3</v>
      </c>
      <c r="S46" s="2"/>
      <c r="T46" s="7"/>
      <c r="U46" s="2"/>
      <c r="V46" s="6">
        <f t="shared" si="40"/>
        <v>0</v>
      </c>
      <c r="W46" s="2"/>
      <c r="X46" s="7">
        <f t="shared" si="41"/>
        <v>91.22</v>
      </c>
      <c r="Y46" s="2"/>
      <c r="Z46" s="6">
        <f t="shared" si="42"/>
        <v>0</v>
      </c>
    </row>
    <row r="47" spans="1:26" s="29" customFormat="1" outlineLevel="1" collapsed="1" x14ac:dyDescent="0.3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-19.52</v>
      </c>
      <c r="E47" s="1"/>
      <c r="F47" s="5">
        <f t="shared" si="35"/>
        <v>-4.0385148527142048E-3</v>
      </c>
      <c r="G47" s="1"/>
      <c r="H47" s="1">
        <f>SUM(OSRRefH22_3x_0)</f>
        <v>0</v>
      </c>
      <c r="I47" s="1"/>
      <c r="J47" s="5">
        <f t="shared" si="36"/>
        <v>0</v>
      </c>
      <c r="K47" s="1"/>
      <c r="L47" s="1">
        <f t="shared" si="37"/>
        <v>-19.52</v>
      </c>
      <c r="M47" s="1"/>
      <c r="N47" s="5">
        <f t="shared" si="38"/>
        <v>0</v>
      </c>
      <c r="O47" s="14"/>
      <c r="P47" s="1">
        <f>SUM(OSRRefP22_3x_0)</f>
        <v>9.32</v>
      </c>
      <c r="Q47" s="1"/>
      <c r="R47" s="5">
        <f t="shared" si="39"/>
        <v>1.1472045628215129E-4</v>
      </c>
      <c r="S47" s="1"/>
      <c r="T47" s="1">
        <f>SUM(OSRRefT22_3x_0)</f>
        <v>3.31</v>
      </c>
      <c r="U47" s="1"/>
      <c r="V47" s="5">
        <f t="shared" si="40"/>
        <v>1.2797364748092959E-3</v>
      </c>
      <c r="W47" s="1"/>
      <c r="X47" s="1">
        <f t="shared" si="41"/>
        <v>6.01</v>
      </c>
      <c r="Y47" s="1"/>
      <c r="Z47" s="5">
        <f t="shared" si="42"/>
        <v>1.8157099697885195</v>
      </c>
    </row>
    <row r="48" spans="1:26" s="24" customFormat="1" hidden="1" outlineLevel="2" x14ac:dyDescent="0.3">
      <c r="A48" s="27"/>
      <c r="B48" s="11" t="str">
        <f>CONCATENATE("          ", "6272", " - ", "CASH (OVER/SHORT)")</f>
        <v xml:space="preserve">          6272 - CASH (OVER/SHORT)</v>
      </c>
      <c r="C48" s="11"/>
      <c r="D48" s="7">
        <v>-19.52</v>
      </c>
      <c r="E48" s="2"/>
      <c r="F48" s="6">
        <f t="shared" si="35"/>
        <v>-4.0385148527142048E-3</v>
      </c>
      <c r="G48" s="2"/>
      <c r="H48" s="7"/>
      <c r="I48" s="2"/>
      <c r="J48" s="6">
        <f t="shared" si="36"/>
        <v>0</v>
      </c>
      <c r="K48" s="2"/>
      <c r="L48" s="7">
        <f t="shared" si="37"/>
        <v>-19.52</v>
      </c>
      <c r="M48" s="2"/>
      <c r="N48" s="6">
        <f t="shared" si="38"/>
        <v>0</v>
      </c>
      <c r="O48" s="11"/>
      <c r="P48" s="7">
        <v>9.32</v>
      </c>
      <c r="Q48" s="2"/>
      <c r="R48" s="6">
        <f t="shared" si="39"/>
        <v>1.1472045628215129E-4</v>
      </c>
      <c r="S48" s="2"/>
      <c r="T48" s="7">
        <v>3.31</v>
      </c>
      <c r="U48" s="2"/>
      <c r="V48" s="6">
        <f t="shared" si="40"/>
        <v>1.2797364748092959E-3</v>
      </c>
      <c r="W48" s="2"/>
      <c r="X48" s="7">
        <f t="shared" si="41"/>
        <v>6.01</v>
      </c>
      <c r="Y48" s="2"/>
      <c r="Z48" s="6">
        <f t="shared" si="42"/>
        <v>1.8157099697885195</v>
      </c>
    </row>
    <row r="49" spans="1:26" s="29" customFormat="1" outlineLevel="1" collapsed="1" x14ac:dyDescent="0.3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169.29</v>
      </c>
      <c r="E49" s="1"/>
      <c r="F49" s="5">
        <f t="shared" si="35"/>
        <v>3.5024599355327236E-2</v>
      </c>
      <c r="G49" s="1"/>
      <c r="H49" s="1">
        <f>SUM(OSRRefH22_4x_0)</f>
        <v>224.95</v>
      </c>
      <c r="I49" s="1"/>
      <c r="J49" s="5">
        <f t="shared" si="36"/>
        <v>0</v>
      </c>
      <c r="K49" s="1"/>
      <c r="L49" s="1">
        <f t="shared" si="37"/>
        <v>-55.66</v>
      </c>
      <c r="M49" s="1"/>
      <c r="N49" s="5">
        <f t="shared" si="38"/>
        <v>-0.24743276283618582</v>
      </c>
      <c r="O49" s="14"/>
      <c r="P49" s="1">
        <f>SUM(OSRRefP22_4x_0)</f>
        <v>4139.28</v>
      </c>
      <c r="Q49" s="1"/>
      <c r="R49" s="5">
        <f t="shared" si="39"/>
        <v>5.0950653463474584E-2</v>
      </c>
      <c r="S49" s="1"/>
      <c r="T49" s="1">
        <f>SUM(OSRRefT22_4x_0)</f>
        <v>1138.28</v>
      </c>
      <c r="U49" s="1"/>
      <c r="V49" s="5">
        <f t="shared" si="40"/>
        <v>0.44009016149423724</v>
      </c>
      <c r="W49" s="1"/>
      <c r="X49" s="1">
        <f t="shared" si="41"/>
        <v>3001</v>
      </c>
      <c r="Y49" s="1"/>
      <c r="Z49" s="5">
        <f t="shared" si="42"/>
        <v>2.6364339178409533</v>
      </c>
    </row>
    <row r="50" spans="1:26" s="24" customFormat="1" hidden="1" outlineLevel="2" x14ac:dyDescent="0.3">
      <c r="A50" s="27"/>
      <c r="B50" s="11" t="str">
        <f>CONCATENATE("          ", "6381", " - ", "BANK/CREDIT CARD FEES")</f>
        <v xml:space="preserve">          6381 - BANK/CREDIT CARD FEES</v>
      </c>
      <c r="C50" s="11"/>
      <c r="D50" s="7">
        <v>169.29</v>
      </c>
      <c r="E50" s="2"/>
      <c r="F50" s="6">
        <f t="shared" si="35"/>
        <v>3.5024599355327236E-2</v>
      </c>
      <c r="G50" s="2"/>
      <c r="H50" s="7">
        <v>224.95</v>
      </c>
      <c r="I50" s="2"/>
      <c r="J50" s="6">
        <f t="shared" si="36"/>
        <v>0</v>
      </c>
      <c r="K50" s="2"/>
      <c r="L50" s="7">
        <f t="shared" si="37"/>
        <v>-55.66</v>
      </c>
      <c r="M50" s="2"/>
      <c r="N50" s="6">
        <f t="shared" si="38"/>
        <v>-0.24743276283618582</v>
      </c>
      <c r="O50" s="11"/>
      <c r="P50" s="7">
        <v>4139.28</v>
      </c>
      <c r="Q50" s="2"/>
      <c r="R50" s="6">
        <f t="shared" si="39"/>
        <v>5.0950653463474584E-2</v>
      </c>
      <c r="S50" s="2"/>
      <c r="T50" s="7">
        <v>1138.28</v>
      </c>
      <c r="U50" s="2"/>
      <c r="V50" s="6">
        <f t="shared" si="40"/>
        <v>0.44009016149423724</v>
      </c>
      <c r="W50" s="2"/>
      <c r="X50" s="7">
        <f t="shared" si="41"/>
        <v>3001</v>
      </c>
      <c r="Y50" s="2"/>
      <c r="Z50" s="6">
        <f t="shared" si="42"/>
        <v>2.6364339178409533</v>
      </c>
    </row>
    <row r="51" spans="1:26" s="29" customFormat="1" outlineLevel="1" collapsed="1" x14ac:dyDescent="0.3">
      <c r="A51" s="28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6324.75</v>
      </c>
      <c r="E51" s="1"/>
      <c r="F51" s="5">
        <f t="shared" si="35"/>
        <v>1.3085346728844347</v>
      </c>
      <c r="G51" s="1"/>
      <c r="H51" s="1">
        <f>SUM(OSRRefH22_5x_0)</f>
        <v>9152.09</v>
      </c>
      <c r="I51" s="1"/>
      <c r="J51" s="5">
        <f t="shared" si="36"/>
        <v>0</v>
      </c>
      <c r="K51" s="1"/>
      <c r="L51" s="1">
        <f t="shared" si="37"/>
        <v>-2827.34</v>
      </c>
      <c r="M51" s="1"/>
      <c r="N51" s="5">
        <f t="shared" si="38"/>
        <v>-0.30892834314347872</v>
      </c>
      <c r="O51" s="14"/>
      <c r="P51" s="1">
        <f>SUM(OSRRefP22_5x_0)</f>
        <v>46705.61</v>
      </c>
      <c r="Q51" s="1"/>
      <c r="R51" s="5">
        <f t="shared" si="39"/>
        <v>0.57490224143092361</v>
      </c>
      <c r="S51" s="1"/>
      <c r="T51" s="1">
        <f>SUM(OSRRefT22_5x_0)</f>
        <v>64245.91</v>
      </c>
      <c r="U51" s="1"/>
      <c r="V51" s="5">
        <f t="shared" si="40"/>
        <v>24.839224889521237</v>
      </c>
      <c r="W51" s="1"/>
      <c r="X51" s="1">
        <f t="shared" si="41"/>
        <v>-17540.300000000003</v>
      </c>
      <c r="Y51" s="1"/>
      <c r="Z51" s="5">
        <f t="shared" si="42"/>
        <v>-0.27301815788740486</v>
      </c>
    </row>
    <row r="52" spans="1:26" s="24" customFormat="1" hidden="1" outlineLevel="2" x14ac:dyDescent="0.3">
      <c r="A52" s="27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35"/>
        <v>1.0511124536046641</v>
      </c>
      <c r="G52" s="2"/>
      <c r="H52" s="7">
        <v>5080.51</v>
      </c>
      <c r="I52" s="2"/>
      <c r="J52" s="6">
        <f t="shared" si="36"/>
        <v>0</v>
      </c>
      <c r="K52" s="2"/>
      <c r="L52" s="7">
        <f t="shared" si="37"/>
        <v>0</v>
      </c>
      <c r="M52" s="2"/>
      <c r="N52" s="6">
        <f t="shared" si="38"/>
        <v>0</v>
      </c>
      <c r="O52" s="11"/>
      <c r="P52" s="7">
        <v>35563.57</v>
      </c>
      <c r="Q52" s="2"/>
      <c r="R52" s="6">
        <f t="shared" si="39"/>
        <v>0.43775418212684836</v>
      </c>
      <c r="S52" s="2"/>
      <c r="T52" s="7">
        <v>35563.57</v>
      </c>
      <c r="U52" s="2"/>
      <c r="V52" s="6">
        <f t="shared" si="40"/>
        <v>13.749848248771491</v>
      </c>
      <c r="W52" s="2"/>
      <c r="X52" s="7">
        <f t="shared" si="41"/>
        <v>0</v>
      </c>
      <c r="Y52" s="2"/>
      <c r="Z52" s="6">
        <f t="shared" si="42"/>
        <v>0</v>
      </c>
    </row>
    <row r="53" spans="1:26" s="24" customFormat="1" hidden="1" outlineLevel="2" x14ac:dyDescent="0.3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1244.24</v>
      </c>
      <c r="E53" s="2"/>
      <c r="F53" s="6">
        <f t="shared" si="35"/>
        <v>0.2574222192797706</v>
      </c>
      <c r="G53" s="2"/>
      <c r="H53" s="7">
        <v>4071.58</v>
      </c>
      <c r="I53" s="2"/>
      <c r="J53" s="6">
        <f t="shared" si="36"/>
        <v>0</v>
      </c>
      <c r="K53" s="2"/>
      <c r="L53" s="7">
        <f t="shared" si="37"/>
        <v>-2827.34</v>
      </c>
      <c r="M53" s="2"/>
      <c r="N53" s="6">
        <f t="shared" si="38"/>
        <v>-0.69440855883956598</v>
      </c>
      <c r="O53" s="11"/>
      <c r="P53" s="7">
        <v>11142.04</v>
      </c>
      <c r="Q53" s="2"/>
      <c r="R53" s="6">
        <f t="shared" si="39"/>
        <v>0.1371480593040752</v>
      </c>
      <c r="S53" s="2"/>
      <c r="T53" s="7">
        <v>28682.34</v>
      </c>
      <c r="U53" s="2"/>
      <c r="V53" s="6">
        <f t="shared" si="40"/>
        <v>11.089376640749746</v>
      </c>
      <c r="W53" s="2"/>
      <c r="X53" s="7">
        <f t="shared" si="41"/>
        <v>-17540.3</v>
      </c>
      <c r="Y53" s="2"/>
      <c r="Z53" s="6">
        <f t="shared" si="42"/>
        <v>-0.61153657616498514</v>
      </c>
    </row>
    <row r="54" spans="1:26" s="29" customFormat="1" outlineLevel="1" collapsed="1" x14ac:dyDescent="0.3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0</v>
      </c>
      <c r="E54" s="1"/>
      <c r="F54" s="5">
        <f t="shared" ref="F54:F66" si="43">IF(D$12=0,0,D54/D$12)</f>
        <v>0</v>
      </c>
      <c r="G54" s="1"/>
      <c r="H54" s="1">
        <f>SUM(OSRRefH22_6x_0)</f>
        <v>176.4</v>
      </c>
      <c r="I54" s="1"/>
      <c r="J54" s="5">
        <f t="shared" ref="J54:J66" si="44">IF(H$12=0,0,H54/H$12)</f>
        <v>0</v>
      </c>
      <c r="K54" s="1"/>
      <c r="L54" s="1">
        <f t="shared" ref="L54:L66" si="45">+D54-H54</f>
        <v>-176.4</v>
      </c>
      <c r="M54" s="1"/>
      <c r="N54" s="5">
        <f t="shared" ref="N54:N66" si="46">IF(H54=0,0,L54/H54)</f>
        <v>-1</v>
      </c>
      <c r="O54" s="14"/>
      <c r="P54" s="1">
        <f>SUM(OSRRefP22_6x_0)</f>
        <v>30</v>
      </c>
      <c r="Q54" s="1"/>
      <c r="R54" s="5">
        <f t="shared" ref="R54:R66" si="47">IF(P$12=0,0,P54/P$12)</f>
        <v>3.6927185498546552E-4</v>
      </c>
      <c r="S54" s="1"/>
      <c r="T54" s="1">
        <f>SUM(OSRRefT22_6x_0)</f>
        <v>264.55</v>
      </c>
      <c r="U54" s="1"/>
      <c r="V54" s="5">
        <f t="shared" ref="V54:V66" si="48">IF(T$12=0,0,T54/T$12)</f>
        <v>0.10228226115129888</v>
      </c>
      <c r="W54" s="1"/>
      <c r="X54" s="1">
        <f t="shared" ref="X54:X66" si="49">+P54-T54</f>
        <v>-234.55</v>
      </c>
      <c r="Y54" s="1"/>
      <c r="Z54" s="5">
        <f t="shared" ref="Z54:Z66" si="50">IF(T54=0,0,X54/T54)</f>
        <v>-0.88659988659988664</v>
      </c>
    </row>
    <row r="55" spans="1:26" s="24" customFormat="1" hidden="1" outlineLevel="2" x14ac:dyDescent="0.3">
      <c r="A55" s="27"/>
      <c r="B55" s="11" t="str">
        <f>CONCATENATE("          ", "6351", " - ", "EQUIPMENT RENTAL")</f>
        <v xml:space="preserve">          6351 - EQUIPMENT RENTAL</v>
      </c>
      <c r="C55" s="11"/>
      <c r="D55" s="7"/>
      <c r="E55" s="2"/>
      <c r="F55" s="6">
        <f t="shared" si="43"/>
        <v>0</v>
      </c>
      <c r="G55" s="2"/>
      <c r="H55" s="7">
        <v>176.4</v>
      </c>
      <c r="I55" s="2"/>
      <c r="J55" s="6">
        <f t="shared" si="44"/>
        <v>0</v>
      </c>
      <c r="K55" s="2"/>
      <c r="L55" s="7">
        <f t="shared" si="45"/>
        <v>-176.4</v>
      </c>
      <c r="M55" s="2"/>
      <c r="N55" s="6">
        <f t="shared" si="46"/>
        <v>-1</v>
      </c>
      <c r="O55" s="11"/>
      <c r="P55" s="7">
        <v>30</v>
      </c>
      <c r="Q55" s="2"/>
      <c r="R55" s="6">
        <f t="shared" si="47"/>
        <v>3.6927185498546552E-4</v>
      </c>
      <c r="S55" s="2"/>
      <c r="T55" s="7">
        <v>264.55</v>
      </c>
      <c r="U55" s="2"/>
      <c r="V55" s="6">
        <f t="shared" si="48"/>
        <v>0.10228226115129888</v>
      </c>
      <c r="W55" s="2"/>
      <c r="X55" s="7">
        <f t="shared" si="49"/>
        <v>-234.55</v>
      </c>
      <c r="Y55" s="2"/>
      <c r="Z55" s="6">
        <f t="shared" si="50"/>
        <v>-0.88659988659988664</v>
      </c>
    </row>
    <row r="56" spans="1:26" s="29" customFormat="1" outlineLevel="1" collapsed="1" x14ac:dyDescent="0.3">
      <c r="A56" s="28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SUM(OSRRefD22_7x_0)</f>
        <v>0</v>
      </c>
      <c r="E56" s="1"/>
      <c r="F56" s="5">
        <f t="shared" si="43"/>
        <v>0</v>
      </c>
      <c r="G56" s="1"/>
      <c r="H56" s="1">
        <f>SUM(OSRRefH22_7x_0)</f>
        <v>8.17</v>
      </c>
      <c r="I56" s="1"/>
      <c r="J56" s="5">
        <f t="shared" si="44"/>
        <v>0</v>
      </c>
      <c r="K56" s="1"/>
      <c r="L56" s="1">
        <f t="shared" si="45"/>
        <v>-8.17</v>
      </c>
      <c r="M56" s="1"/>
      <c r="N56" s="5">
        <f t="shared" si="46"/>
        <v>-1</v>
      </c>
      <c r="O56" s="14"/>
      <c r="P56" s="1">
        <f>SUM(OSRRefP22_7x_0)</f>
        <v>0</v>
      </c>
      <c r="Q56" s="1"/>
      <c r="R56" s="5">
        <f t="shared" si="47"/>
        <v>0</v>
      </c>
      <c r="S56" s="1"/>
      <c r="T56" s="1">
        <f>SUM(OSRRefT22_7x_0)</f>
        <v>117.43</v>
      </c>
      <c r="U56" s="1"/>
      <c r="V56" s="5">
        <f t="shared" si="48"/>
        <v>4.5401647805696568E-2</v>
      </c>
      <c r="W56" s="1"/>
      <c r="X56" s="1">
        <f t="shared" si="49"/>
        <v>-117.43</v>
      </c>
      <c r="Y56" s="1"/>
      <c r="Z56" s="5">
        <f t="shared" si="50"/>
        <v>-1</v>
      </c>
    </row>
    <row r="57" spans="1:26" s="24" customFormat="1" hidden="1" outlineLevel="2" x14ac:dyDescent="0.3">
      <c r="A57" s="27"/>
      <c r="B57" s="11" t="str">
        <f>CONCATENATE("          ", "6305", " - ", "FREIGHT OUT")</f>
        <v xml:space="preserve">          6305 - FREIGHT OUT</v>
      </c>
      <c r="C57" s="11"/>
      <c r="D57" s="7"/>
      <c r="E57" s="2"/>
      <c r="F57" s="6">
        <f t="shared" si="43"/>
        <v>0</v>
      </c>
      <c r="G57" s="2"/>
      <c r="H57" s="7">
        <v>8.17</v>
      </c>
      <c r="I57" s="2"/>
      <c r="J57" s="6">
        <f t="shared" si="44"/>
        <v>0</v>
      </c>
      <c r="K57" s="2"/>
      <c r="L57" s="7">
        <f t="shared" si="45"/>
        <v>-8.17</v>
      </c>
      <c r="M57" s="2"/>
      <c r="N57" s="6">
        <f t="shared" si="46"/>
        <v>-1</v>
      </c>
      <c r="O57" s="11"/>
      <c r="P57" s="7"/>
      <c r="Q57" s="2"/>
      <c r="R57" s="6">
        <f t="shared" si="47"/>
        <v>0</v>
      </c>
      <c r="S57" s="2"/>
      <c r="T57" s="7">
        <v>117.43</v>
      </c>
      <c r="U57" s="2"/>
      <c r="V57" s="6">
        <f t="shared" si="48"/>
        <v>4.5401647805696568E-2</v>
      </c>
      <c r="W57" s="2"/>
      <c r="X57" s="7">
        <f t="shared" si="49"/>
        <v>-117.43</v>
      </c>
      <c r="Y57" s="2"/>
      <c r="Z57" s="6">
        <f t="shared" si="50"/>
        <v>-1</v>
      </c>
    </row>
    <row r="58" spans="1:26" s="29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758.88</v>
      </c>
      <c r="E58" s="1"/>
      <c r="F58" s="5">
        <f t="shared" si="43"/>
        <v>0.1570055405444547</v>
      </c>
      <c r="G58" s="1"/>
      <c r="H58" s="1">
        <f>SUM(OSRRefH22_8x_0)</f>
        <v>-421.99</v>
      </c>
      <c r="I58" s="1"/>
      <c r="J58" s="5">
        <f t="shared" si="44"/>
        <v>0</v>
      </c>
      <c r="K58" s="1"/>
      <c r="L58" s="1">
        <f t="shared" si="45"/>
        <v>1180.8699999999999</v>
      </c>
      <c r="M58" s="1"/>
      <c r="N58" s="5">
        <f t="shared" si="46"/>
        <v>-2.7983364534704611</v>
      </c>
      <c r="O58" s="14"/>
      <c r="P58" s="1">
        <f>SUM(OSRRefP22_8x_0)</f>
        <v>3350.26</v>
      </c>
      <c r="Q58" s="1"/>
      <c r="R58" s="5">
        <f t="shared" si="47"/>
        <v>4.1238557496120189E-2</v>
      </c>
      <c r="S58" s="1"/>
      <c r="T58" s="1">
        <f>SUM(OSRRefT22_8x_0)</f>
        <v>2788.49</v>
      </c>
      <c r="U58" s="1"/>
      <c r="V58" s="5">
        <f t="shared" si="48"/>
        <v>1.0781064539700826</v>
      </c>
      <c r="W58" s="1"/>
      <c r="X58" s="1">
        <f t="shared" si="49"/>
        <v>561.77000000000044</v>
      </c>
      <c r="Y58" s="1"/>
      <c r="Z58" s="5">
        <f t="shared" si="50"/>
        <v>0.20146028854326195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7">
        <v>758.88</v>
      </c>
      <c r="E59" s="2"/>
      <c r="F59" s="6">
        <f t="shared" si="43"/>
        <v>0.1570055405444547</v>
      </c>
      <c r="G59" s="2"/>
      <c r="H59" s="7">
        <v>-421.99</v>
      </c>
      <c r="I59" s="2"/>
      <c r="J59" s="6">
        <f t="shared" si="44"/>
        <v>0</v>
      </c>
      <c r="K59" s="2"/>
      <c r="L59" s="7">
        <f t="shared" si="45"/>
        <v>1180.8699999999999</v>
      </c>
      <c r="M59" s="2"/>
      <c r="N59" s="6">
        <f t="shared" si="46"/>
        <v>-2.7983364534704611</v>
      </c>
      <c r="O59" s="11"/>
      <c r="P59" s="7">
        <v>3350.26</v>
      </c>
      <c r="Q59" s="2"/>
      <c r="R59" s="6">
        <f t="shared" si="47"/>
        <v>4.1238557496120189E-2</v>
      </c>
      <c r="S59" s="2"/>
      <c r="T59" s="7">
        <v>2788.49</v>
      </c>
      <c r="U59" s="2"/>
      <c r="V59" s="6">
        <f t="shared" si="48"/>
        <v>1.0781064539700826</v>
      </c>
      <c r="W59" s="2"/>
      <c r="X59" s="7">
        <f t="shared" si="49"/>
        <v>561.77000000000044</v>
      </c>
      <c r="Y59" s="2"/>
      <c r="Z59" s="6">
        <f t="shared" si="50"/>
        <v>0.20146028854326195</v>
      </c>
    </row>
    <row r="60" spans="1:26" s="29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331.01</v>
      </c>
      <c r="E60" s="1"/>
      <c r="F60" s="5">
        <f t="shared" si="43"/>
        <v>6.8483032858449228E-2</v>
      </c>
      <c r="G60" s="1"/>
      <c r="H60" s="1">
        <f>SUM(OSRRefH22_9x_0)</f>
        <v>243.54</v>
      </c>
      <c r="I60" s="1"/>
      <c r="J60" s="5">
        <f t="shared" si="44"/>
        <v>0</v>
      </c>
      <c r="K60" s="1"/>
      <c r="L60" s="1">
        <f t="shared" si="45"/>
        <v>87.47</v>
      </c>
      <c r="M60" s="1"/>
      <c r="N60" s="5">
        <f t="shared" si="46"/>
        <v>0.35916071281924944</v>
      </c>
      <c r="O60" s="14"/>
      <c r="P60" s="1">
        <f>SUM(OSRRefP22_9x_0)</f>
        <v>2317.0700000000002</v>
      </c>
      <c r="Q60" s="1"/>
      <c r="R60" s="5">
        <f t="shared" si="47"/>
        <v>2.8520957901039087E-2</v>
      </c>
      <c r="S60" s="1"/>
      <c r="T60" s="1">
        <f>SUM(OSRRefT22_9x_0)</f>
        <v>1704.78</v>
      </c>
      <c r="U60" s="1"/>
      <c r="V60" s="5">
        <f t="shared" si="48"/>
        <v>0.65911454608017872</v>
      </c>
      <c r="W60" s="1"/>
      <c r="X60" s="1">
        <f t="shared" si="49"/>
        <v>612.29000000000019</v>
      </c>
      <c r="Y60" s="1"/>
      <c r="Z60" s="5">
        <f t="shared" si="50"/>
        <v>0.35916071281924955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331.01</v>
      </c>
      <c r="E61" s="2"/>
      <c r="F61" s="6">
        <f t="shared" si="43"/>
        <v>6.8483032858449228E-2</v>
      </c>
      <c r="G61" s="2"/>
      <c r="H61" s="7">
        <v>243.54</v>
      </c>
      <c r="I61" s="2"/>
      <c r="J61" s="6">
        <f t="shared" si="44"/>
        <v>0</v>
      </c>
      <c r="K61" s="2"/>
      <c r="L61" s="7">
        <f t="shared" si="45"/>
        <v>87.47</v>
      </c>
      <c r="M61" s="2"/>
      <c r="N61" s="6">
        <f t="shared" si="46"/>
        <v>0.35916071281924944</v>
      </c>
      <c r="O61" s="11"/>
      <c r="P61" s="7">
        <v>2317.0700000000002</v>
      </c>
      <c r="Q61" s="2"/>
      <c r="R61" s="6">
        <f t="shared" si="47"/>
        <v>2.8520957901039087E-2</v>
      </c>
      <c r="S61" s="2"/>
      <c r="T61" s="7">
        <v>1704.78</v>
      </c>
      <c r="U61" s="2"/>
      <c r="V61" s="6">
        <f t="shared" si="48"/>
        <v>0.65911454608017872</v>
      </c>
      <c r="W61" s="2"/>
      <c r="X61" s="7">
        <f t="shared" si="49"/>
        <v>612.29000000000019</v>
      </c>
      <c r="Y61" s="2"/>
      <c r="Z61" s="6">
        <f t="shared" si="50"/>
        <v>0.35916071281924955</v>
      </c>
    </row>
    <row r="62" spans="1:26" s="29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SUM(OSRRefD22_10x_0)</f>
        <v>3905</v>
      </c>
      <c r="E62" s="1"/>
      <c r="F62" s="5">
        <f t="shared" si="43"/>
        <v>0.8079098616725906</v>
      </c>
      <c r="G62" s="1"/>
      <c r="H62" s="1">
        <f>SUM(OSRRefH22_10x_0)</f>
        <v>4044</v>
      </c>
      <c r="I62" s="1"/>
      <c r="J62" s="5">
        <f t="shared" si="44"/>
        <v>0</v>
      </c>
      <c r="K62" s="1"/>
      <c r="L62" s="1">
        <f t="shared" si="45"/>
        <v>-139</v>
      </c>
      <c r="M62" s="1"/>
      <c r="N62" s="5">
        <f t="shared" si="46"/>
        <v>-3.4371909000989118E-2</v>
      </c>
      <c r="O62" s="14"/>
      <c r="P62" s="1">
        <f>SUM(OSRRefP22_10x_0)</f>
        <v>27059</v>
      </c>
      <c r="Q62" s="1"/>
      <c r="R62" s="5">
        <f t="shared" si="47"/>
        <v>0.33307090413505702</v>
      </c>
      <c r="S62" s="1"/>
      <c r="T62" s="1">
        <f>SUM(OSRRefT22_10x_0)</f>
        <v>28045.85</v>
      </c>
      <c r="U62" s="1"/>
      <c r="V62" s="5">
        <f t="shared" si="48"/>
        <v>10.843292209072596</v>
      </c>
      <c r="W62" s="1"/>
      <c r="X62" s="1">
        <f t="shared" si="49"/>
        <v>-986.84999999999854</v>
      </c>
      <c r="Y62" s="1"/>
      <c r="Z62" s="5">
        <f t="shared" si="50"/>
        <v>-3.5187024105170592E-2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7">
        <v>3905</v>
      </c>
      <c r="E63" s="2"/>
      <c r="F63" s="6">
        <f t="shared" si="43"/>
        <v>0.8079098616725906</v>
      </c>
      <c r="G63" s="2"/>
      <c r="H63" s="7">
        <v>4044</v>
      </c>
      <c r="I63" s="2"/>
      <c r="J63" s="6">
        <f t="shared" si="44"/>
        <v>0</v>
      </c>
      <c r="K63" s="2"/>
      <c r="L63" s="7">
        <f t="shared" si="45"/>
        <v>-139</v>
      </c>
      <c r="M63" s="2"/>
      <c r="N63" s="6">
        <f t="shared" si="46"/>
        <v>-3.4371909000989118E-2</v>
      </c>
      <c r="O63" s="11"/>
      <c r="P63" s="7">
        <v>27059</v>
      </c>
      <c r="Q63" s="2"/>
      <c r="R63" s="6">
        <f t="shared" si="47"/>
        <v>0.33307090413505702</v>
      </c>
      <c r="S63" s="2"/>
      <c r="T63" s="7">
        <v>28045.85</v>
      </c>
      <c r="U63" s="2"/>
      <c r="V63" s="6">
        <f t="shared" si="48"/>
        <v>10.843292209072596</v>
      </c>
      <c r="W63" s="2"/>
      <c r="X63" s="7">
        <f t="shared" si="49"/>
        <v>-986.84999999999854</v>
      </c>
      <c r="Y63" s="2"/>
      <c r="Z63" s="6">
        <f t="shared" si="50"/>
        <v>-3.5187024105170592E-2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324.95</v>
      </c>
      <c r="E64" s="1"/>
      <c r="F64" s="5">
        <f t="shared" si="43"/>
        <v>6.7229272612166019E-2</v>
      </c>
      <c r="G64" s="1"/>
      <c r="H64" s="1">
        <f>SUM(OSRRefH22_11x_0)</f>
        <v>0</v>
      </c>
      <c r="I64" s="1"/>
      <c r="J64" s="5">
        <f t="shared" si="44"/>
        <v>0</v>
      </c>
      <c r="K64" s="1"/>
      <c r="L64" s="1">
        <f t="shared" si="45"/>
        <v>324.95</v>
      </c>
      <c r="M64" s="1"/>
      <c r="N64" s="5">
        <f t="shared" si="46"/>
        <v>0</v>
      </c>
      <c r="O64" s="14"/>
      <c r="P64" s="1">
        <f>SUM(OSRRefP22_11x_0)</f>
        <v>3303.2</v>
      </c>
      <c r="Q64" s="1"/>
      <c r="R64" s="5">
        <f t="shared" si="47"/>
        <v>4.0659293046266316E-2</v>
      </c>
      <c r="S64" s="1"/>
      <c r="T64" s="1">
        <f>SUM(OSRRefT22_11x_0)</f>
        <v>2291.85</v>
      </c>
      <c r="U64" s="1"/>
      <c r="V64" s="5">
        <f t="shared" si="48"/>
        <v>0.88609185492195919</v>
      </c>
      <c r="W64" s="1"/>
      <c r="X64" s="1">
        <f t="shared" si="49"/>
        <v>1011.3499999999999</v>
      </c>
      <c r="Y64" s="1"/>
      <c r="Z64" s="5">
        <f t="shared" si="50"/>
        <v>0.44128106115147148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43"/>
        <v>0</v>
      </c>
      <c r="G65" s="2"/>
      <c r="H65" s="7"/>
      <c r="I65" s="2"/>
      <c r="J65" s="6">
        <f t="shared" si="44"/>
        <v>0</v>
      </c>
      <c r="K65" s="2"/>
      <c r="L65" s="7">
        <f t="shared" si="45"/>
        <v>0</v>
      </c>
      <c r="M65" s="2"/>
      <c r="N65" s="6">
        <f t="shared" si="46"/>
        <v>0</v>
      </c>
      <c r="O65" s="11"/>
      <c r="P65" s="7">
        <v>817</v>
      </c>
      <c r="Q65" s="2"/>
      <c r="R65" s="6">
        <f t="shared" si="47"/>
        <v>1.0056503517437511E-2</v>
      </c>
      <c r="S65" s="2"/>
      <c r="T65" s="7">
        <v>956.6</v>
      </c>
      <c r="U65" s="2"/>
      <c r="V65" s="6">
        <f t="shared" si="48"/>
        <v>0.36984770749322432</v>
      </c>
      <c r="W65" s="2"/>
      <c r="X65" s="7">
        <f t="shared" si="49"/>
        <v>-139.60000000000002</v>
      </c>
      <c r="Y65" s="2"/>
      <c r="Z65" s="6">
        <f t="shared" si="50"/>
        <v>-0.14593351453062933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324.95</v>
      </c>
      <c r="E66" s="2"/>
      <c r="F66" s="6">
        <f t="shared" si="43"/>
        <v>6.7229272612166019E-2</v>
      </c>
      <c r="G66" s="2"/>
      <c r="H66" s="7"/>
      <c r="I66" s="2"/>
      <c r="J66" s="6">
        <f t="shared" si="44"/>
        <v>0</v>
      </c>
      <c r="K66" s="2"/>
      <c r="L66" s="7">
        <f t="shared" si="45"/>
        <v>324.95</v>
      </c>
      <c r="M66" s="2"/>
      <c r="N66" s="6">
        <f t="shared" si="46"/>
        <v>0</v>
      </c>
      <c r="O66" s="11"/>
      <c r="P66" s="7">
        <v>2486.1999999999998</v>
      </c>
      <c r="Q66" s="2"/>
      <c r="R66" s="6">
        <f t="shared" si="47"/>
        <v>3.0602789528828809E-2</v>
      </c>
      <c r="S66" s="2"/>
      <c r="T66" s="7">
        <v>1335.25</v>
      </c>
      <c r="U66" s="2"/>
      <c r="V66" s="6">
        <f t="shared" si="48"/>
        <v>0.51624414742873481</v>
      </c>
      <c r="W66" s="2"/>
      <c r="X66" s="7">
        <f t="shared" si="49"/>
        <v>1150.9499999999998</v>
      </c>
      <c r="Y66" s="2"/>
      <c r="Z66" s="6">
        <f t="shared" si="50"/>
        <v>0.8619734132184983</v>
      </c>
    </row>
    <row r="67" spans="1:26" s="29" customFormat="1" outlineLevel="1" collapsed="1" x14ac:dyDescent="0.3">
      <c r="A67" s="28"/>
      <c r="B67" s="14" t="str">
        <f>CONCATENATE("     ","Royalty &amp; Commissions                             ")</f>
        <v xml:space="preserve">     Royalty &amp; Commissions                             </v>
      </c>
      <c r="C67" s="14"/>
      <c r="D67" s="1">
        <f>SUM(OSRRefD22_12x_0)</f>
        <v>0</v>
      </c>
      <c r="E67" s="1"/>
      <c r="F67" s="5">
        <f t="shared" ref="F67:F73" si="51">IF(D$12=0,0,D67/D$12)</f>
        <v>0</v>
      </c>
      <c r="G67" s="1"/>
      <c r="H67" s="1">
        <f>SUM(OSRRefH22_12x_0)</f>
        <v>0</v>
      </c>
      <c r="I67" s="1"/>
      <c r="J67" s="5">
        <f t="shared" ref="J67:J73" si="52">IF(H$12=0,0,H67/H$12)</f>
        <v>0</v>
      </c>
      <c r="K67" s="1"/>
      <c r="L67" s="1">
        <f t="shared" ref="L67:L73" si="53">+D67-H67</f>
        <v>0</v>
      </c>
      <c r="M67" s="1"/>
      <c r="N67" s="5">
        <f t="shared" ref="N67:N73" si="54">IF(H67=0,0,L67/H67)</f>
        <v>0</v>
      </c>
      <c r="O67" s="14"/>
      <c r="P67" s="1">
        <f>SUM(OSRRefP22_12x_0)</f>
        <v>0</v>
      </c>
      <c r="Q67" s="1"/>
      <c r="R67" s="5">
        <f t="shared" ref="R67:R73" si="55">IF(P$12=0,0,P67/P$12)</f>
        <v>0</v>
      </c>
      <c r="S67" s="1"/>
      <c r="T67" s="1">
        <f>SUM(OSRRefT22_12x_0)</f>
        <v>185.7</v>
      </c>
      <c r="U67" s="1"/>
      <c r="V67" s="5">
        <f t="shared" ref="V67:V73" si="56">IF(T$12=0,0,T67/T$12)</f>
        <v>7.1796695882805517E-2</v>
      </c>
      <c r="W67" s="1"/>
      <c r="X67" s="1">
        <f t="shared" ref="X67:X73" si="57">+P67-T67</f>
        <v>-185.7</v>
      </c>
      <c r="Y67" s="1"/>
      <c r="Z67" s="5">
        <f t="shared" ref="Z67:Z73" si="58">IF(T67=0,0,X67/T67)</f>
        <v>-1</v>
      </c>
    </row>
    <row r="68" spans="1:26" s="24" customFormat="1" hidden="1" outlineLevel="2" x14ac:dyDescent="0.3">
      <c r="A68" s="27"/>
      <c r="B68" s="11" t="str">
        <f>CONCATENATE("          ", "6254", " - ", "ROYALTY &amp; COMMISSIONS")</f>
        <v xml:space="preserve">          6254 - ROYALTY &amp; COMMISSIONS</v>
      </c>
      <c r="C68" s="11"/>
      <c r="D68" s="7"/>
      <c r="E68" s="2"/>
      <c r="F68" s="6">
        <f t="shared" si="51"/>
        <v>0</v>
      </c>
      <c r="G68" s="2"/>
      <c r="H68" s="7"/>
      <c r="I68" s="2"/>
      <c r="J68" s="6">
        <f t="shared" si="52"/>
        <v>0</v>
      </c>
      <c r="K68" s="2"/>
      <c r="L68" s="7">
        <f t="shared" si="53"/>
        <v>0</v>
      </c>
      <c r="M68" s="2"/>
      <c r="N68" s="6">
        <f t="shared" si="54"/>
        <v>0</v>
      </c>
      <c r="O68" s="11"/>
      <c r="P68" s="7"/>
      <c r="Q68" s="2"/>
      <c r="R68" s="6">
        <f t="shared" si="55"/>
        <v>0</v>
      </c>
      <c r="S68" s="2"/>
      <c r="T68" s="7">
        <v>185.7</v>
      </c>
      <c r="U68" s="2"/>
      <c r="V68" s="6">
        <f t="shared" si="56"/>
        <v>7.1796695882805517E-2</v>
      </c>
      <c r="W68" s="2"/>
      <c r="X68" s="7">
        <f t="shared" si="57"/>
        <v>-185.7</v>
      </c>
      <c r="Y68" s="2"/>
      <c r="Z68" s="6">
        <f t="shared" si="58"/>
        <v>-1</v>
      </c>
    </row>
    <row r="69" spans="1:26" s="29" customFormat="1" outlineLevel="1" collapsed="1" x14ac:dyDescent="0.3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SUM(OSRRefD22_13x_0)</f>
        <v>266.01</v>
      </c>
      <c r="E69" s="1"/>
      <c r="F69" s="5">
        <f t="shared" si="51"/>
        <v>5.5035109424718523E-2</v>
      </c>
      <c r="G69" s="1"/>
      <c r="H69" s="1">
        <f>SUM(OSRRefH22_13x_0)</f>
        <v>1060.33</v>
      </c>
      <c r="I69" s="1"/>
      <c r="J69" s="5">
        <f t="shared" si="52"/>
        <v>0</v>
      </c>
      <c r="K69" s="1"/>
      <c r="L69" s="1">
        <f t="shared" si="53"/>
        <v>-794.31999999999994</v>
      </c>
      <c r="M69" s="1"/>
      <c r="N69" s="5">
        <f t="shared" si="54"/>
        <v>-0.74912527232088122</v>
      </c>
      <c r="O69" s="14"/>
      <c r="P69" s="1">
        <f>SUM(OSRRefP22_13x_0)</f>
        <v>10068.950000000001</v>
      </c>
      <c r="Q69" s="1"/>
      <c r="R69" s="5">
        <f t="shared" si="55"/>
        <v>0.12393932814186344</v>
      </c>
      <c r="S69" s="1"/>
      <c r="T69" s="1">
        <f>SUM(OSRRefT22_13x_0)</f>
        <v>1414.2199999999998</v>
      </c>
      <c r="U69" s="1"/>
      <c r="V69" s="5">
        <f t="shared" si="56"/>
        <v>0.5467761079772816</v>
      </c>
      <c r="W69" s="1"/>
      <c r="X69" s="1">
        <f t="shared" si="57"/>
        <v>8654.7300000000014</v>
      </c>
      <c r="Y69" s="1"/>
      <c r="Z69" s="5">
        <f t="shared" si="58"/>
        <v>6.1197904145041102</v>
      </c>
    </row>
    <row r="70" spans="1:26" s="24" customFormat="1" hidden="1" outlineLevel="2" x14ac:dyDescent="0.3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151.85</v>
      </c>
      <c r="E70" s="2"/>
      <c r="F70" s="6">
        <f t="shared" si="51"/>
        <v>3.1416418052492415E-2</v>
      </c>
      <c r="G70" s="2"/>
      <c r="H70" s="7">
        <v>771.33</v>
      </c>
      <c r="I70" s="2"/>
      <c r="J70" s="6">
        <f t="shared" si="52"/>
        <v>0</v>
      </c>
      <c r="K70" s="2"/>
      <c r="L70" s="7">
        <f t="shared" si="53"/>
        <v>-619.48</v>
      </c>
      <c r="M70" s="2"/>
      <c r="N70" s="6">
        <f t="shared" si="54"/>
        <v>-0.80313225208406258</v>
      </c>
      <c r="O70" s="11"/>
      <c r="P70" s="7">
        <v>2073.35</v>
      </c>
      <c r="Q70" s="2"/>
      <c r="R70" s="6">
        <f t="shared" si="55"/>
        <v>2.5520993351137163E-2</v>
      </c>
      <c r="S70" s="2"/>
      <c r="T70" s="7">
        <v>1351.82</v>
      </c>
      <c r="U70" s="2"/>
      <c r="V70" s="6">
        <f t="shared" si="56"/>
        <v>0.52265056234945695</v>
      </c>
      <c r="W70" s="2"/>
      <c r="X70" s="7">
        <f t="shared" si="57"/>
        <v>721.53</v>
      </c>
      <c r="Y70" s="2"/>
      <c r="Z70" s="6">
        <f t="shared" si="58"/>
        <v>0.53374709650693142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51"/>
        <v>0</v>
      </c>
      <c r="G71" s="2"/>
      <c r="H71" s="7">
        <v>289</v>
      </c>
      <c r="I71" s="2"/>
      <c r="J71" s="6">
        <f t="shared" si="52"/>
        <v>0</v>
      </c>
      <c r="K71" s="2"/>
      <c r="L71" s="7">
        <f t="shared" si="53"/>
        <v>-289</v>
      </c>
      <c r="M71" s="2"/>
      <c r="N71" s="6">
        <f t="shared" si="54"/>
        <v>-1</v>
      </c>
      <c r="O71" s="11"/>
      <c r="P71" s="7"/>
      <c r="Q71" s="2"/>
      <c r="R71" s="6">
        <f t="shared" si="55"/>
        <v>0</v>
      </c>
      <c r="S71" s="2"/>
      <c r="T71" s="7">
        <v>867</v>
      </c>
      <c r="U71" s="2"/>
      <c r="V71" s="6">
        <f t="shared" si="56"/>
        <v>0.33520589838660408</v>
      </c>
      <c r="W71" s="2"/>
      <c r="X71" s="7">
        <f t="shared" si="57"/>
        <v>-867</v>
      </c>
      <c r="Y71" s="2"/>
      <c r="Z71" s="6">
        <f t="shared" si="58"/>
        <v>-1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7"/>
      <c r="E72" s="2"/>
      <c r="F72" s="6">
        <f t="shared" si="51"/>
        <v>0</v>
      </c>
      <c r="G72" s="2"/>
      <c r="H72" s="7"/>
      <c r="I72" s="2"/>
      <c r="J72" s="6">
        <f t="shared" si="52"/>
        <v>0</v>
      </c>
      <c r="K72" s="2"/>
      <c r="L72" s="7">
        <f t="shared" si="53"/>
        <v>0</v>
      </c>
      <c r="M72" s="2"/>
      <c r="N72" s="6">
        <f t="shared" si="54"/>
        <v>0</v>
      </c>
      <c r="O72" s="11"/>
      <c r="P72" s="7">
        <v>7455.64</v>
      </c>
      <c r="Q72" s="2"/>
      <c r="R72" s="6">
        <f t="shared" si="55"/>
        <v>9.1771933763461197E-2</v>
      </c>
      <c r="S72" s="2"/>
      <c r="T72" s="7">
        <v>-804.6</v>
      </c>
      <c r="U72" s="2"/>
      <c r="V72" s="6">
        <f t="shared" si="56"/>
        <v>-0.31108035275877932</v>
      </c>
      <c r="W72" s="2"/>
      <c r="X72" s="7">
        <f t="shared" si="57"/>
        <v>8260.24</v>
      </c>
      <c r="Y72" s="2"/>
      <c r="Z72" s="6">
        <f t="shared" si="58"/>
        <v>-10.266268953517276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7">
        <v>114.16</v>
      </c>
      <c r="E73" s="2"/>
      <c r="F73" s="6">
        <f t="shared" si="51"/>
        <v>2.3618691372226105E-2</v>
      </c>
      <c r="G73" s="2"/>
      <c r="H73" s="7"/>
      <c r="I73" s="2"/>
      <c r="J73" s="6">
        <f t="shared" si="52"/>
        <v>0</v>
      </c>
      <c r="K73" s="2"/>
      <c r="L73" s="7">
        <f t="shared" si="53"/>
        <v>114.16</v>
      </c>
      <c r="M73" s="2"/>
      <c r="N73" s="6">
        <f t="shared" si="54"/>
        <v>0</v>
      </c>
      <c r="O73" s="11"/>
      <c r="P73" s="7">
        <v>539.96</v>
      </c>
      <c r="Q73" s="2"/>
      <c r="R73" s="6">
        <f t="shared" si="55"/>
        <v>6.6464010272650658E-3</v>
      </c>
      <c r="S73" s="2"/>
      <c r="T73" s="7"/>
      <c r="U73" s="2"/>
      <c r="V73" s="6">
        <f t="shared" si="56"/>
        <v>0</v>
      </c>
      <c r="W73" s="2"/>
      <c r="X73" s="7">
        <f t="shared" si="57"/>
        <v>539.96</v>
      </c>
      <c r="Y73" s="2"/>
      <c r="Z73" s="6">
        <f t="shared" si="58"/>
        <v>0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SUM(OSRRefD22_14x_0)</f>
        <v>322.48</v>
      </c>
      <c r="E74" s="1"/>
      <c r="F74" s="5">
        <f t="shared" ref="F74:F80" si="59">IF(D$12=0,0,D74/D$12)</f>
        <v>6.6718251521684258E-2</v>
      </c>
      <c r="G74" s="1"/>
      <c r="H74" s="1">
        <f>SUM(OSRRefH22_14x_0)</f>
        <v>0</v>
      </c>
      <c r="I74" s="1"/>
      <c r="J74" s="5">
        <f t="shared" ref="J74:J80" si="60">IF(H$12=0,0,H74/H$12)</f>
        <v>0</v>
      </c>
      <c r="K74" s="1"/>
      <c r="L74" s="1">
        <f t="shared" ref="L74:L80" si="61">+D74-H74</f>
        <v>322.48</v>
      </c>
      <c r="M74" s="1"/>
      <c r="N74" s="5">
        <f t="shared" ref="N74:N80" si="62">IF(H74=0,0,L74/H74)</f>
        <v>0</v>
      </c>
      <c r="O74" s="14"/>
      <c r="P74" s="1">
        <f>SUM(OSRRefP22_14x_0)</f>
        <v>3086.7700000000004</v>
      </c>
      <c r="Q74" s="1"/>
      <c r="R74" s="5">
        <f t="shared" ref="R74:R80" si="63">IF(P$12=0,0,P74/P$12)</f>
        <v>3.799524279378285E-2</v>
      </c>
      <c r="S74" s="1"/>
      <c r="T74" s="1">
        <f>SUM(OSRRefT22_14x_0)</f>
        <v>1094.0899999999999</v>
      </c>
      <c r="U74" s="1"/>
      <c r="V74" s="5">
        <f t="shared" ref="V74:V80" si="64">IF(T$12=0,0,T74/T$12)</f>
        <v>0.42300509961453248</v>
      </c>
      <c r="W74" s="1"/>
      <c r="X74" s="1">
        <f t="shared" ref="X74:X80" si="65">+P74-T74</f>
        <v>1992.6800000000005</v>
      </c>
      <c r="Y74" s="1"/>
      <c r="Z74" s="5">
        <f t="shared" ref="Z74:Z80" si="66">IF(T74=0,0,X74/T74)</f>
        <v>1.8213126890840796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9"/>
        <v>0</v>
      </c>
      <c r="G75" s="2"/>
      <c r="H75" s="7"/>
      <c r="I75" s="2"/>
      <c r="J75" s="6">
        <f t="shared" si="60"/>
        <v>0</v>
      </c>
      <c r="K75" s="2"/>
      <c r="L75" s="7">
        <f t="shared" si="61"/>
        <v>0</v>
      </c>
      <c r="M75" s="2"/>
      <c r="N75" s="6">
        <f t="shared" si="62"/>
        <v>0</v>
      </c>
      <c r="O75" s="11"/>
      <c r="P75" s="7">
        <v>1194.8900000000001</v>
      </c>
      <c r="Q75" s="2"/>
      <c r="R75" s="6">
        <f t="shared" si="63"/>
        <v>1.4707974893452764E-2</v>
      </c>
      <c r="S75" s="2"/>
      <c r="T75" s="7">
        <v>316.67</v>
      </c>
      <c r="U75" s="2"/>
      <c r="V75" s="6">
        <f t="shared" si="64"/>
        <v>0.12243327778787304</v>
      </c>
      <c r="W75" s="2"/>
      <c r="X75" s="7">
        <f t="shared" si="65"/>
        <v>878.22</v>
      </c>
      <c r="Y75" s="2"/>
      <c r="Z75" s="6">
        <f t="shared" si="66"/>
        <v>2.7732971231881769</v>
      </c>
    </row>
    <row r="76" spans="1:26" s="24" customFormat="1" hidden="1" outlineLevel="2" x14ac:dyDescent="0.3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9"/>
        <v>0</v>
      </c>
      <c r="G76" s="2"/>
      <c r="H76" s="7"/>
      <c r="I76" s="2"/>
      <c r="J76" s="6">
        <f t="shared" si="60"/>
        <v>0</v>
      </c>
      <c r="K76" s="2"/>
      <c r="L76" s="7">
        <f t="shared" si="61"/>
        <v>0</v>
      </c>
      <c r="M76" s="2"/>
      <c r="N76" s="6">
        <f t="shared" si="62"/>
        <v>0</v>
      </c>
      <c r="O76" s="11"/>
      <c r="P76" s="7"/>
      <c r="Q76" s="2"/>
      <c r="R76" s="6">
        <f t="shared" si="63"/>
        <v>0</v>
      </c>
      <c r="S76" s="2"/>
      <c r="T76" s="7">
        <v>207.27</v>
      </c>
      <c r="U76" s="2"/>
      <c r="V76" s="6">
        <f t="shared" si="64"/>
        <v>8.0136247472423802E-2</v>
      </c>
      <c r="W76" s="2"/>
      <c r="X76" s="7">
        <f t="shared" si="65"/>
        <v>-207.27</v>
      </c>
      <c r="Y76" s="2"/>
      <c r="Z76" s="6">
        <f t="shared" si="66"/>
        <v>-1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7">
        <v>51.51</v>
      </c>
      <c r="E77" s="2"/>
      <c r="F77" s="6">
        <f t="shared" si="59"/>
        <v>1.0656962093407206E-2</v>
      </c>
      <c r="G77" s="2"/>
      <c r="H77" s="7"/>
      <c r="I77" s="2"/>
      <c r="J77" s="6">
        <f t="shared" si="60"/>
        <v>0</v>
      </c>
      <c r="K77" s="2"/>
      <c r="L77" s="7">
        <f t="shared" si="61"/>
        <v>51.51</v>
      </c>
      <c r="M77" s="2"/>
      <c r="N77" s="6">
        <f t="shared" si="62"/>
        <v>0</v>
      </c>
      <c r="O77" s="11"/>
      <c r="P77" s="7">
        <v>655.23</v>
      </c>
      <c r="Q77" s="2"/>
      <c r="R77" s="6">
        <f t="shared" si="63"/>
        <v>8.0652665847375515E-3</v>
      </c>
      <c r="S77" s="2"/>
      <c r="T77" s="7">
        <v>317.57</v>
      </c>
      <c r="U77" s="2"/>
      <c r="V77" s="6">
        <f t="shared" si="64"/>
        <v>0.12278124238827436</v>
      </c>
      <c r="W77" s="2"/>
      <c r="X77" s="7">
        <f t="shared" si="65"/>
        <v>337.66</v>
      </c>
      <c r="Y77" s="2"/>
      <c r="Z77" s="6">
        <f t="shared" si="66"/>
        <v>1.0632616431023083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7">
        <v>136.59</v>
      </c>
      <c r="E78" s="2"/>
      <c r="F78" s="6">
        <f t="shared" si="59"/>
        <v>2.825925941251195E-2</v>
      </c>
      <c r="G78" s="2"/>
      <c r="H78" s="7"/>
      <c r="I78" s="2"/>
      <c r="J78" s="6">
        <f t="shared" si="60"/>
        <v>0</v>
      </c>
      <c r="K78" s="2"/>
      <c r="L78" s="7">
        <f t="shared" si="61"/>
        <v>136.59</v>
      </c>
      <c r="M78" s="2"/>
      <c r="N78" s="6">
        <f t="shared" si="62"/>
        <v>0</v>
      </c>
      <c r="O78" s="11"/>
      <c r="P78" s="7">
        <v>350.78</v>
      </c>
      <c r="Q78" s="2"/>
      <c r="R78" s="6">
        <f t="shared" si="63"/>
        <v>4.3177727097267193E-3</v>
      </c>
      <c r="S78" s="2"/>
      <c r="T78" s="7">
        <v>131.30000000000001</v>
      </c>
      <c r="U78" s="2"/>
      <c r="V78" s="6">
        <f t="shared" si="64"/>
        <v>5.0764168925214674E-2</v>
      </c>
      <c r="W78" s="2"/>
      <c r="X78" s="7">
        <f t="shared" si="65"/>
        <v>219.47999999999996</v>
      </c>
      <c r="Y78" s="2"/>
      <c r="Z78" s="6">
        <f t="shared" si="66"/>
        <v>1.6715917745620712</v>
      </c>
    </row>
    <row r="79" spans="1:26" s="24" customFormat="1" hidden="1" outlineLevel="2" x14ac:dyDescent="0.3">
      <c r="A79" s="27"/>
      <c r="B79" s="11" t="str">
        <f>CONCATENATE("          ", "6243", " - ", "PAPER SUPPLIES")</f>
        <v xml:space="preserve">          6243 - PAPER SUPPLIES</v>
      </c>
      <c r="C79" s="11"/>
      <c r="D79" s="7">
        <v>44.38</v>
      </c>
      <c r="E79" s="2"/>
      <c r="F79" s="6">
        <f t="shared" si="59"/>
        <v>9.1818283382918246E-3</v>
      </c>
      <c r="G79" s="2"/>
      <c r="H79" s="7"/>
      <c r="I79" s="2"/>
      <c r="J79" s="6">
        <f t="shared" si="60"/>
        <v>0</v>
      </c>
      <c r="K79" s="2"/>
      <c r="L79" s="7">
        <f t="shared" si="61"/>
        <v>44.38</v>
      </c>
      <c r="M79" s="2"/>
      <c r="N79" s="6">
        <f t="shared" si="62"/>
        <v>0</v>
      </c>
      <c r="O79" s="11"/>
      <c r="P79" s="7">
        <v>44.38</v>
      </c>
      <c r="Q79" s="2"/>
      <c r="R79" s="6">
        <f t="shared" si="63"/>
        <v>5.4627616414183202E-4</v>
      </c>
      <c r="S79" s="2"/>
      <c r="T79" s="7"/>
      <c r="U79" s="2"/>
      <c r="V79" s="6">
        <f t="shared" si="64"/>
        <v>0</v>
      </c>
      <c r="W79" s="2"/>
      <c r="X79" s="7">
        <f t="shared" si="65"/>
        <v>44.38</v>
      </c>
      <c r="Y79" s="2"/>
      <c r="Z79" s="6">
        <f t="shared" si="66"/>
        <v>0</v>
      </c>
    </row>
    <row r="80" spans="1:26" s="24" customFormat="1" hidden="1" outlineLevel="2" x14ac:dyDescent="0.3">
      <c r="A80" s="27"/>
      <c r="B80" s="11" t="str">
        <f>CONCATENATE("          ", "6247", " - ", "STORE SUPPLIES")</f>
        <v xml:space="preserve">          6247 - STORE SUPPLIES</v>
      </c>
      <c r="C80" s="11"/>
      <c r="D80" s="7">
        <v>90</v>
      </c>
      <c r="E80" s="2"/>
      <c r="F80" s="6">
        <f t="shared" si="59"/>
        <v>1.8620201677473278E-2</v>
      </c>
      <c r="G80" s="2"/>
      <c r="H80" s="7"/>
      <c r="I80" s="2"/>
      <c r="J80" s="6">
        <f t="shared" si="60"/>
        <v>0</v>
      </c>
      <c r="K80" s="2"/>
      <c r="L80" s="7">
        <f t="shared" si="61"/>
        <v>90</v>
      </c>
      <c r="M80" s="2"/>
      <c r="N80" s="6">
        <f t="shared" si="62"/>
        <v>0</v>
      </c>
      <c r="O80" s="11"/>
      <c r="P80" s="7">
        <v>841.49</v>
      </c>
      <c r="Q80" s="2"/>
      <c r="R80" s="6">
        <f t="shared" si="63"/>
        <v>1.0357952441723979E-2</v>
      </c>
      <c r="S80" s="2"/>
      <c r="T80" s="7">
        <v>121.28</v>
      </c>
      <c r="U80" s="2"/>
      <c r="V80" s="6">
        <f t="shared" si="64"/>
        <v>4.6890163040746648E-2</v>
      </c>
      <c r="W80" s="2"/>
      <c r="X80" s="7">
        <f t="shared" si="65"/>
        <v>720.21</v>
      </c>
      <c r="Y80" s="2"/>
      <c r="Z80" s="6">
        <f t="shared" si="66"/>
        <v>5.9384069920844329</v>
      </c>
    </row>
    <row r="81" spans="1:26" s="29" customFormat="1" outlineLevel="1" collapsed="1" x14ac:dyDescent="0.3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SUM(OSRRefD22_15x_0)</f>
        <v>-343.5</v>
      </c>
      <c r="E81" s="1"/>
      <c r="F81" s="5">
        <f t="shared" ref="F81:F84" si="67">IF(D$12=0,0,D81/D$12)</f>
        <v>-7.1067103069023016E-2</v>
      </c>
      <c r="G81" s="1"/>
      <c r="H81" s="1">
        <f>SUM(OSRRefH22_15x_0)</f>
        <v>325.5</v>
      </c>
      <c r="I81" s="1"/>
      <c r="J81" s="5">
        <f t="shared" ref="J81:J84" si="68">IF(H$12=0,0,H81/H$12)</f>
        <v>0</v>
      </c>
      <c r="K81" s="1"/>
      <c r="L81" s="1">
        <f t="shared" ref="L81:L84" si="69">+D81-H81</f>
        <v>-669</v>
      </c>
      <c r="M81" s="1"/>
      <c r="N81" s="5">
        <f t="shared" ref="N81:N84" si="70">IF(H81=0,0,L81/H81)</f>
        <v>-2.0552995391705071</v>
      </c>
      <c r="O81" s="14"/>
      <c r="P81" s="1">
        <f>SUM(OSRRefP22_15x_0)</f>
        <v>811</v>
      </c>
      <c r="Q81" s="1"/>
      <c r="R81" s="5">
        <f t="shared" ref="R81:R84" si="71">IF(P$12=0,0,P81/P$12)</f>
        <v>9.9826491464404168E-3</v>
      </c>
      <c r="S81" s="1"/>
      <c r="T81" s="1">
        <f>SUM(OSRRefT22_15x_0)</f>
        <v>2985.79</v>
      </c>
      <c r="U81" s="1"/>
      <c r="V81" s="5">
        <f t="shared" ref="V81:V84" si="72">IF(T$12=0,0,T81/T$12)</f>
        <v>1.1543880269247273</v>
      </c>
      <c r="W81" s="1"/>
      <c r="X81" s="1">
        <f t="shared" ref="X81:X84" si="73">+P81-T81</f>
        <v>-2174.79</v>
      </c>
      <c r="Y81" s="1"/>
      <c r="Z81" s="5">
        <f t="shared" ref="Z81:Z84" si="74">IF(T81=0,0,X81/T81)</f>
        <v>-0.72838009371054224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7">
        <v>-343.5</v>
      </c>
      <c r="E82" s="2"/>
      <c r="F82" s="6">
        <f t="shared" si="67"/>
        <v>-7.1067103069023016E-2</v>
      </c>
      <c r="G82" s="2"/>
      <c r="H82" s="7">
        <v>325.5</v>
      </c>
      <c r="I82" s="2"/>
      <c r="J82" s="6">
        <f t="shared" si="68"/>
        <v>0</v>
      </c>
      <c r="K82" s="2"/>
      <c r="L82" s="7">
        <f t="shared" si="69"/>
        <v>-669</v>
      </c>
      <c r="M82" s="2"/>
      <c r="N82" s="6">
        <f t="shared" si="70"/>
        <v>-2.0552995391705071</v>
      </c>
      <c r="O82" s="11"/>
      <c r="P82" s="7">
        <v>811</v>
      </c>
      <c r="Q82" s="2"/>
      <c r="R82" s="6">
        <f t="shared" si="71"/>
        <v>9.9826491464404168E-3</v>
      </c>
      <c r="S82" s="2"/>
      <c r="T82" s="7">
        <v>2985.79</v>
      </c>
      <c r="U82" s="2"/>
      <c r="V82" s="6">
        <f t="shared" si="72"/>
        <v>1.1543880269247273</v>
      </c>
      <c r="W82" s="2"/>
      <c r="X82" s="7">
        <f t="shared" si="73"/>
        <v>-2174.79</v>
      </c>
      <c r="Y82" s="2"/>
      <c r="Z82" s="6">
        <f t="shared" si="74"/>
        <v>-0.72838009371054224</v>
      </c>
    </row>
    <row r="83" spans="1:26" s="29" customFormat="1" outlineLevel="1" collapsed="1" x14ac:dyDescent="0.3">
      <c r="A83" s="28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100</v>
      </c>
      <c r="E83" s="1"/>
      <c r="F83" s="5">
        <f t="shared" si="67"/>
        <v>2.0689112974970312E-2</v>
      </c>
      <c r="G83" s="1"/>
      <c r="H83" s="1">
        <f>SUM(OSRRefH22_16x_0)</f>
        <v>1136</v>
      </c>
      <c r="I83" s="1"/>
      <c r="J83" s="5">
        <f t="shared" si="68"/>
        <v>0</v>
      </c>
      <c r="K83" s="1"/>
      <c r="L83" s="1">
        <f t="shared" si="69"/>
        <v>-1036</v>
      </c>
      <c r="M83" s="1"/>
      <c r="N83" s="5">
        <f t="shared" si="70"/>
        <v>-0.9119718309859155</v>
      </c>
      <c r="O83" s="14"/>
      <c r="P83" s="1">
        <f>SUM(OSRRefP22_16x_0)</f>
        <v>700</v>
      </c>
      <c r="Q83" s="1"/>
      <c r="R83" s="5">
        <f t="shared" si="71"/>
        <v>8.6163432829941943E-3</v>
      </c>
      <c r="S83" s="1"/>
      <c r="T83" s="1">
        <f>SUM(OSRRefT22_16x_0)</f>
        <v>4694</v>
      </c>
      <c r="U83" s="1"/>
      <c r="V83" s="5">
        <f t="shared" si="72"/>
        <v>1.8148287047597689</v>
      </c>
      <c r="W83" s="1"/>
      <c r="X83" s="1">
        <f t="shared" si="73"/>
        <v>-3994</v>
      </c>
      <c r="Y83" s="1"/>
      <c r="Z83" s="5">
        <f t="shared" si="74"/>
        <v>-0.85087345547507454</v>
      </c>
    </row>
    <row r="84" spans="1:26" s="24" customFormat="1" hidden="1" outlineLevel="2" x14ac:dyDescent="0.3">
      <c r="A84" s="27"/>
      <c r="B84" s="11" t="str">
        <f>CONCATENATE("          ", "6274", " - ", "UTILITIES")</f>
        <v xml:space="preserve">          6274 - UTILITIES</v>
      </c>
      <c r="C84" s="11"/>
      <c r="D84" s="7">
        <v>100</v>
      </c>
      <c r="E84" s="2"/>
      <c r="F84" s="6">
        <f t="shared" si="67"/>
        <v>2.0689112974970312E-2</v>
      </c>
      <c r="G84" s="2"/>
      <c r="H84" s="7">
        <v>1136</v>
      </c>
      <c r="I84" s="2"/>
      <c r="J84" s="6">
        <f t="shared" si="68"/>
        <v>0</v>
      </c>
      <c r="K84" s="2"/>
      <c r="L84" s="7">
        <f t="shared" si="69"/>
        <v>-1036</v>
      </c>
      <c r="M84" s="2"/>
      <c r="N84" s="6">
        <f t="shared" si="70"/>
        <v>-0.9119718309859155</v>
      </c>
      <c r="O84" s="11"/>
      <c r="P84" s="7">
        <v>700</v>
      </c>
      <c r="Q84" s="2"/>
      <c r="R84" s="6">
        <f t="shared" si="71"/>
        <v>8.6163432829941943E-3</v>
      </c>
      <c r="S84" s="2"/>
      <c r="T84" s="7">
        <v>4694</v>
      </c>
      <c r="U84" s="2"/>
      <c r="V84" s="6">
        <f t="shared" si="72"/>
        <v>1.8148287047597689</v>
      </c>
      <c r="W84" s="2"/>
      <c r="X84" s="7">
        <f t="shared" si="73"/>
        <v>-3994</v>
      </c>
      <c r="Y84" s="2"/>
      <c r="Z84" s="6">
        <f t="shared" si="74"/>
        <v>-0.85087345547507454</v>
      </c>
    </row>
    <row r="85" spans="1:26" s="52" customFormat="1" x14ac:dyDescent="0.3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3">
      <c r="A86" s="10"/>
      <c r="B86" s="26" t="s">
        <v>292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5" t="s">
        <v>276</v>
      </c>
      <c r="C88" s="25"/>
      <c r="D88" s="21">
        <f>+D27-D29+D86</f>
        <v>-32741.96</v>
      </c>
      <c r="E88" s="13"/>
      <c r="F88" s="22">
        <f>IF(D$12=0,0,D88/D$12)</f>
        <v>-6.7740210946195889</v>
      </c>
      <c r="G88" s="13"/>
      <c r="H88" s="21">
        <f>+H27-H29+H86</f>
        <v>-15691.240000000002</v>
      </c>
      <c r="I88" s="13"/>
      <c r="J88" s="22">
        <f>IF(H$12=0,0,H88/H$12)</f>
        <v>0</v>
      </c>
      <c r="K88" s="15"/>
      <c r="L88" s="21">
        <f>+D88-H88</f>
        <v>-17050.719999999998</v>
      </c>
      <c r="M88" s="15"/>
      <c r="N88" s="22">
        <f>IF(H88=0,0,L88/H88)</f>
        <v>1.0866394242902406</v>
      </c>
      <c r="O88" s="26"/>
      <c r="P88" s="21">
        <f>+P27-P29+P86</f>
        <v>-120645.12000000005</v>
      </c>
      <c r="Q88" s="13"/>
      <c r="R88" s="22">
        <f>IF(P$12=0,0,P88/P$12)</f>
        <v>-1.4850282419114702</v>
      </c>
      <c r="S88" s="13"/>
      <c r="T88" s="21">
        <f>+T27-T29+T86</f>
        <v>-194248.37999999998</v>
      </c>
      <c r="U88" s="13"/>
      <c r="V88" s="22">
        <f>IF(T$12=0,0,T88/T$12)</f>
        <v>-75.101733250337318</v>
      </c>
      <c r="W88" s="15"/>
      <c r="X88" s="21">
        <f>+P88-T88</f>
        <v>73603.259999999922</v>
      </c>
      <c r="Y88" s="15"/>
      <c r="Z88" s="22">
        <f>IF(T88=0,0,X88/T88)</f>
        <v>-0.37891312143761474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1"/>
      <c r="B90" s="10" t="s">
        <v>127</v>
      </c>
      <c r="C90" s="10"/>
      <c r="D90" s="4">
        <v>1556.42</v>
      </c>
      <c r="E90" s="4"/>
      <c r="F90" s="12">
        <f>IF(D$12=0,0,D90/D$12)</f>
        <v>0.32200949216503294</v>
      </c>
      <c r="G90" s="4"/>
      <c r="H90" s="4">
        <v>-9.0399999999999991</v>
      </c>
      <c r="I90" s="4"/>
      <c r="J90" s="12">
        <f>IF(H$12=0,0,H90/H$12)</f>
        <v>0</v>
      </c>
      <c r="K90" s="4"/>
      <c r="L90" s="4">
        <f>+D90-H90</f>
        <v>1565.46</v>
      </c>
      <c r="M90" s="4"/>
      <c r="N90" s="12">
        <f>IF(H90=0,0,L90/H90)</f>
        <v>-173.1703539823009</v>
      </c>
      <c r="O90" s="10"/>
      <c r="P90" s="4">
        <v>10753.66</v>
      </c>
      <c r="Q90" s="4"/>
      <c r="R90" s="12">
        <f>IF(P$12=0,0,P90/P$12)</f>
        <v>0.13236746586943335</v>
      </c>
      <c r="S90" s="4"/>
      <c r="T90" s="4">
        <v>469.51</v>
      </c>
      <c r="U90" s="4"/>
      <c r="V90" s="12">
        <f>IF(T$12=0,0,T90/T$12)</f>
        <v>0.18152539948269261</v>
      </c>
      <c r="W90" s="4"/>
      <c r="X90" s="4">
        <f>+P90-T90</f>
        <v>10284.15</v>
      </c>
      <c r="Y90" s="4"/>
      <c r="Z90" s="12">
        <f>IF(T90=0,0,X90/T90)</f>
        <v>21.904006304445058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5" t="s">
        <v>125</v>
      </c>
      <c r="C92" s="25"/>
      <c r="D92" s="36">
        <f>+D88-D90</f>
        <v>-34298.379999999997</v>
      </c>
      <c r="E92" s="13"/>
      <c r="F92" s="31">
        <f>IF(D$12=0,0,D92/D$12)</f>
        <v>-7.0960305867846216</v>
      </c>
      <c r="G92" s="13"/>
      <c r="H92" s="36">
        <f>+H88-H90</f>
        <v>-15682.2</v>
      </c>
      <c r="I92" s="13"/>
      <c r="J92" s="31">
        <f>IF(H$12=0,0,H92/H$12)</f>
        <v>0</v>
      </c>
      <c r="K92" s="15"/>
      <c r="L92" s="36">
        <f>D92-H92</f>
        <v>-18616.179999999997</v>
      </c>
      <c r="M92" s="15"/>
      <c r="N92" s="31">
        <f>IF(H92=0,0,L92/H92)</f>
        <v>1.1870898215811554</v>
      </c>
      <c r="O92" s="26"/>
      <c r="P92" s="36">
        <f>+P88-P90</f>
        <v>-131398.78000000006</v>
      </c>
      <c r="Q92" s="13"/>
      <c r="R92" s="31">
        <f>IF(P$12=0,0,P92/P$12)</f>
        <v>-1.6173957077809036</v>
      </c>
      <c r="S92" s="13"/>
      <c r="T92" s="36">
        <f>+T88-T90</f>
        <v>-194717.88999999998</v>
      </c>
      <c r="U92" s="13"/>
      <c r="V92" s="31">
        <f>IF(T$12=0,0,T92/T$12)</f>
        <v>-75.283258649820013</v>
      </c>
      <c r="W92" s="15"/>
      <c r="X92" s="36">
        <f>P92-T92</f>
        <v>63319.109999999928</v>
      </c>
      <c r="Y92" s="15"/>
      <c r="Z92" s="31">
        <f>IF(T92=0,0,X92/T92)</f>
        <v>-0.32518383390452688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5" t="s">
        <v>293</v>
      </c>
      <c r="C95" s="25"/>
      <c r="D95" s="35">
        <f>SUM(D92:D94)</f>
        <v>-34298.379999999997</v>
      </c>
      <c r="E95" s="13"/>
      <c r="F95" s="32">
        <f>IF(D$12=0,0,D95/D$12)</f>
        <v>-7.0960305867846216</v>
      </c>
      <c r="G95" s="13"/>
      <c r="H95" s="35">
        <f>SUM(H92:H94)</f>
        <v>-15682.2</v>
      </c>
      <c r="I95" s="13"/>
      <c r="J95" s="32">
        <f>IF(H$12=0,0,H95/H$12)</f>
        <v>0</v>
      </c>
      <c r="K95" s="15"/>
      <c r="L95" s="35">
        <f>+D95-H95</f>
        <v>-18616.179999999997</v>
      </c>
      <c r="M95" s="15"/>
      <c r="N95" s="32">
        <f>IF(H95=0,0,L95/H95)</f>
        <v>1.1870898215811554</v>
      </c>
      <c r="O95" s="26"/>
      <c r="P95" s="35">
        <f>SUM(P92:P94)</f>
        <v>-131398.78000000006</v>
      </c>
      <c r="Q95" s="13"/>
      <c r="R95" s="32">
        <f>IF(P$12=0,0,P95/P$12)</f>
        <v>-1.6173957077809036</v>
      </c>
      <c r="S95" s="13"/>
      <c r="T95" s="35">
        <f>SUM(T92:T94)</f>
        <v>-194717.88999999998</v>
      </c>
      <c r="U95" s="13"/>
      <c r="V95" s="32">
        <f>IF(T$12=0,0,T95/T$12)</f>
        <v>-75.283258649820013</v>
      </c>
      <c r="W95" s="15"/>
      <c r="X95" s="35">
        <f>+P95-T95</f>
        <v>63319.109999999928</v>
      </c>
      <c r="Y95" s="15"/>
      <c r="Z95" s="32">
        <f>IF(T95=0,0,X95/T95)</f>
        <v>-0.32518383390452688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4">
        <v>44604.028412997686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3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","309", " - ", "Carts")</f>
        <v>Department 309 - Carts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3604.41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3604.41</v>
      </c>
      <c r="M14" s="4"/>
      <c r="N14" s="12">
        <f t="shared" ref="N14:N15" si="3">IF(H14=0,0,L14/H14)</f>
        <v>0</v>
      </c>
      <c r="O14" s="10"/>
      <c r="P14" s="4">
        <f>SUM(OSRRefP16x_0)</f>
        <v>3604.41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3604.41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"5059", " - ", "PURCHASES @ COST-FOOD")</f>
        <v xml:space="preserve">          5059 - PURCHASES @ COST-FOOD</v>
      </c>
      <c r="C15" s="11"/>
      <c r="D15" s="2">
        <v>3604.41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3604.41</v>
      </c>
      <c r="M15" s="2"/>
      <c r="N15" s="19">
        <f t="shared" si="3"/>
        <v>0</v>
      </c>
      <c r="O15" s="11"/>
      <c r="P15" s="2">
        <v>3604.41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3604.41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-3604.41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-3604.41</v>
      </c>
      <c r="M17" s="15"/>
      <c r="N17" s="22">
        <f>IF(H17=0,0,L17/H17)</f>
        <v>0</v>
      </c>
      <c r="O17" s="26"/>
      <c r="P17" s="21">
        <f>P12-P14</f>
        <v>-3604.41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5"/>
      <c r="X17" s="21">
        <f>+P17-T17</f>
        <v>-3604.41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1178.94</v>
      </c>
      <c r="E19" s="20"/>
      <c r="F19" s="30">
        <f t="shared" ref="F19:F32" si="8">IF(D$12=0,0,D19/D$12)</f>
        <v>0</v>
      </c>
      <c r="G19" s="20"/>
      <c r="H19" s="20">
        <f>SUM(OSRRefH22x_0)</f>
        <v>760.09999999999991</v>
      </c>
      <c r="I19" s="20"/>
      <c r="J19" s="30">
        <f t="shared" ref="J19:J32" si="9">IF(H$12=0,0,H19/H$12)</f>
        <v>0</v>
      </c>
      <c r="K19" s="4"/>
      <c r="L19" s="20">
        <f t="shared" ref="L19:L32" si="10">+D19-H19</f>
        <v>418.84000000000015</v>
      </c>
      <c r="M19" s="4"/>
      <c r="N19" s="30">
        <f t="shared" ref="N19:N32" si="11">IF(H19=0,0,L19/H19)</f>
        <v>0.55103275884752034</v>
      </c>
      <c r="O19" s="10"/>
      <c r="P19" s="20">
        <f>SUM(OSRRefP22x_0)</f>
        <v>6491.619999999999</v>
      </c>
      <c r="Q19" s="20"/>
      <c r="R19" s="30">
        <f t="shared" ref="R19:R32" si="12">IF(P$12=0,0,P19/P$12)</f>
        <v>0</v>
      </c>
      <c r="S19" s="20"/>
      <c r="T19" s="20">
        <f>SUM(OSRRefT22x_0)</f>
        <v>7010.9999999999982</v>
      </c>
      <c r="U19" s="20"/>
      <c r="V19" s="30">
        <f t="shared" ref="V19:V32" si="13">IF(T$12=0,0,T19/T$12)</f>
        <v>0</v>
      </c>
      <c r="W19" s="4"/>
      <c r="X19" s="20">
        <f t="shared" ref="X19:X32" si="14">+P19-T19</f>
        <v>-519.3799999999992</v>
      </c>
      <c r="Y19" s="4"/>
      <c r="Z19" s="30">
        <f t="shared" ref="Z19:Z32" si="15">IF(T19=0,0,X19/T19)</f>
        <v>-7.4080730280986926E-2</v>
      </c>
    </row>
    <row r="20" spans="1:26" s="29" customFormat="1" outlineLevel="1" collapsed="1" x14ac:dyDescent="0.3">
      <c r="A20" s="28"/>
      <c r="B20" s="14" t="str">
        <f>CONCATENATE("     ","*Payroll                                          ")</f>
        <v xml:space="preserve">     *Payroll                                          </v>
      </c>
      <c r="C20" s="14"/>
      <c r="D20" s="1">
        <f>SUM(OSRRefD22_0x_0)</f>
        <v>23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23</v>
      </c>
      <c r="M20" s="1"/>
      <c r="N20" s="5">
        <f t="shared" si="11"/>
        <v>0</v>
      </c>
      <c r="O20" s="14"/>
      <c r="P20" s="1">
        <f>SUM(OSRRefP22_0x_0)</f>
        <v>23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23</v>
      </c>
      <c r="Y20" s="1"/>
      <c r="Z20" s="5">
        <f t="shared" si="15"/>
        <v>0</v>
      </c>
    </row>
    <row r="21" spans="1:26" s="24" customFormat="1" hidden="1" outlineLevel="2" x14ac:dyDescent="0.3">
      <c r="A21" s="27"/>
      <c r="B21" s="11" t="str">
        <f>CONCATENATE("          ", "6007", " - ", "STUDENT HOURLY")</f>
        <v xml:space="preserve">          6007 - STUDENT HOURLY</v>
      </c>
      <c r="C21" s="11"/>
      <c r="D21" s="7">
        <v>23</v>
      </c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23</v>
      </c>
      <c r="M21" s="2"/>
      <c r="N21" s="6">
        <f t="shared" si="11"/>
        <v>0</v>
      </c>
      <c r="O21" s="11"/>
      <c r="P21" s="7">
        <v>23</v>
      </c>
      <c r="Q21" s="2"/>
      <c r="R21" s="6">
        <f t="shared" si="12"/>
        <v>0</v>
      </c>
      <c r="S21" s="2"/>
      <c r="T21" s="7"/>
      <c r="U21" s="2"/>
      <c r="V21" s="6">
        <f t="shared" si="13"/>
        <v>0</v>
      </c>
      <c r="W21" s="2"/>
      <c r="X21" s="7">
        <f t="shared" si="14"/>
        <v>23</v>
      </c>
      <c r="Y21" s="2"/>
      <c r="Z21" s="6">
        <f t="shared" si="15"/>
        <v>0</v>
      </c>
    </row>
    <row r="22" spans="1:26" s="29" customFormat="1" outlineLevel="1" collapsed="1" x14ac:dyDescent="0.3">
      <c r="A22" s="28"/>
      <c r="B22" s="14" t="str">
        <f>CONCATENATE("     ","Bank/card Fees                                    ")</f>
        <v xml:space="preserve">     Bank/card Fees                                    </v>
      </c>
      <c r="C22" s="14"/>
      <c r="D22" s="1">
        <f>SUM(OSRRefD22_1x_0)</f>
        <v>0.2</v>
      </c>
      <c r="E22" s="1"/>
      <c r="F22" s="5">
        <f t="shared" si="8"/>
        <v>0</v>
      </c>
      <c r="G22" s="1"/>
      <c r="H22" s="1">
        <f>SUM(OSRRefH22_1x_0)</f>
        <v>0</v>
      </c>
      <c r="I22" s="1"/>
      <c r="J22" s="5">
        <f t="shared" si="9"/>
        <v>0</v>
      </c>
      <c r="K22" s="1"/>
      <c r="L22" s="1">
        <f t="shared" si="10"/>
        <v>0.2</v>
      </c>
      <c r="M22" s="1"/>
      <c r="N22" s="5">
        <f t="shared" si="11"/>
        <v>0</v>
      </c>
      <c r="O22" s="14"/>
      <c r="P22" s="1">
        <f>SUM(OSRRefP22_1x_0)</f>
        <v>0.2</v>
      </c>
      <c r="Q22" s="1"/>
      <c r="R22" s="5">
        <f t="shared" si="12"/>
        <v>0</v>
      </c>
      <c r="S22" s="1"/>
      <c r="T22" s="1">
        <f>SUM(OSRRefT22_1x_0)</f>
        <v>0</v>
      </c>
      <c r="U22" s="1"/>
      <c r="V22" s="5">
        <f t="shared" si="13"/>
        <v>0</v>
      </c>
      <c r="W22" s="1"/>
      <c r="X22" s="1">
        <f t="shared" si="14"/>
        <v>0.2</v>
      </c>
      <c r="Y22" s="1"/>
      <c r="Z22" s="5">
        <f t="shared" si="15"/>
        <v>0</v>
      </c>
    </row>
    <row r="23" spans="1:26" s="24" customFormat="1" hidden="1" outlineLevel="2" x14ac:dyDescent="0.3">
      <c r="A23" s="27"/>
      <c r="B23" s="11" t="str">
        <f>CONCATENATE("          ", "6381", " - ", "BANK/CREDIT CARD FEES")</f>
        <v xml:space="preserve">          6381 - BANK/CREDIT CARD FEES</v>
      </c>
      <c r="C23" s="11"/>
      <c r="D23" s="7">
        <v>0.2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0.2</v>
      </c>
      <c r="M23" s="2"/>
      <c r="N23" s="6">
        <f t="shared" si="11"/>
        <v>0</v>
      </c>
      <c r="O23" s="11"/>
      <c r="P23" s="7">
        <v>0.2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0.2</v>
      </c>
      <c r="Y23" s="2"/>
      <c r="Z23" s="6">
        <f t="shared" si="15"/>
        <v>0</v>
      </c>
    </row>
    <row r="24" spans="1:26" s="29" customFormat="1" outlineLevel="1" collapsed="1" x14ac:dyDescent="0.3">
      <c r="A24" s="28"/>
      <c r="B24" s="14" t="str">
        <f>CONCATENATE("     ","Depreciation                                      ")</f>
        <v xml:space="preserve">     Depreciation                                      </v>
      </c>
      <c r="C24" s="14"/>
      <c r="D24" s="1">
        <f>SUM(OSRRefD22_2x_0)</f>
        <v>588.94000000000005</v>
      </c>
      <c r="E24" s="1"/>
      <c r="F24" s="5">
        <f t="shared" si="8"/>
        <v>0</v>
      </c>
      <c r="G24" s="1"/>
      <c r="H24" s="1">
        <f>SUM(OSRRefH22_2x_0)</f>
        <v>588.16999999999996</v>
      </c>
      <c r="I24" s="1"/>
      <c r="J24" s="5">
        <f t="shared" si="9"/>
        <v>0</v>
      </c>
      <c r="K24" s="1"/>
      <c r="L24" s="1">
        <f t="shared" si="10"/>
        <v>0.7700000000000955</v>
      </c>
      <c r="M24" s="1"/>
      <c r="N24" s="5">
        <f t="shared" si="11"/>
        <v>1.3091453151301419E-3</v>
      </c>
      <c r="O24" s="14"/>
      <c r="P24" s="1">
        <f>SUM(OSRRefP22_2x_0)</f>
        <v>4122.58</v>
      </c>
      <c r="Q24" s="1"/>
      <c r="R24" s="5">
        <f t="shared" si="12"/>
        <v>0</v>
      </c>
      <c r="S24" s="1"/>
      <c r="T24" s="1">
        <f>SUM(OSRRefT22_2x_0)</f>
        <v>3852.97</v>
      </c>
      <c r="U24" s="1"/>
      <c r="V24" s="5">
        <f t="shared" si="13"/>
        <v>0</v>
      </c>
      <c r="W24" s="1"/>
      <c r="X24" s="1">
        <f t="shared" si="14"/>
        <v>269.61000000000013</v>
      </c>
      <c r="Y24" s="1"/>
      <c r="Z24" s="5">
        <f t="shared" si="15"/>
        <v>6.9974591029777072E-2</v>
      </c>
    </row>
    <row r="25" spans="1:26" s="24" customFormat="1" hidden="1" outlineLevel="2" x14ac:dyDescent="0.3">
      <c r="A25" s="27"/>
      <c r="B25" s="11" t="str">
        <f>CONCATENATE("          ", "6322", " - ", "EQUIPMENT DEPRECIATION EXPENSE")</f>
        <v xml:space="preserve">          6322 - EQUIPMENT DEPRECIATION EXPENSE</v>
      </c>
      <c r="C25" s="11"/>
      <c r="D25" s="7">
        <v>588.94000000000005</v>
      </c>
      <c r="E25" s="2"/>
      <c r="F25" s="6">
        <f t="shared" si="8"/>
        <v>0</v>
      </c>
      <c r="G25" s="2"/>
      <c r="H25" s="7">
        <v>588.16999999999996</v>
      </c>
      <c r="I25" s="2"/>
      <c r="J25" s="6">
        <f t="shared" si="9"/>
        <v>0</v>
      </c>
      <c r="K25" s="2"/>
      <c r="L25" s="7">
        <f t="shared" si="10"/>
        <v>0.7700000000000955</v>
      </c>
      <c r="M25" s="2"/>
      <c r="N25" s="6">
        <f t="shared" si="11"/>
        <v>1.3091453151301419E-3</v>
      </c>
      <c r="O25" s="11"/>
      <c r="P25" s="7">
        <v>4122.58</v>
      </c>
      <c r="Q25" s="2"/>
      <c r="R25" s="6">
        <f t="shared" si="12"/>
        <v>0</v>
      </c>
      <c r="S25" s="2"/>
      <c r="T25" s="7">
        <v>3852.97</v>
      </c>
      <c r="U25" s="2"/>
      <c r="V25" s="6">
        <f t="shared" si="13"/>
        <v>0</v>
      </c>
      <c r="W25" s="2"/>
      <c r="X25" s="7">
        <f t="shared" si="14"/>
        <v>269.61000000000013</v>
      </c>
      <c r="Y25" s="2"/>
      <c r="Z25" s="6">
        <f t="shared" si="15"/>
        <v>6.9974591029777072E-2</v>
      </c>
    </row>
    <row r="26" spans="1:26" s="29" customFormat="1" outlineLevel="1" collapsed="1" x14ac:dyDescent="0.3">
      <c r="A26" s="28"/>
      <c r="B26" s="14" t="str">
        <f>CONCATENATE("     ","Equipment Rental                                  ")</f>
        <v xml:space="preserve">     Equipment Rental                                  </v>
      </c>
      <c r="C26" s="14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4"/>
      <c r="P26" s="1">
        <f>SUM(OSRRefP22_3x_0)</f>
        <v>30</v>
      </c>
      <c r="Q26" s="1"/>
      <c r="R26" s="5">
        <f t="shared" si="12"/>
        <v>0</v>
      </c>
      <c r="S26" s="1"/>
      <c r="T26" s="1">
        <f>SUM(OSRRefT22_3x_0)</f>
        <v>12</v>
      </c>
      <c r="U26" s="1"/>
      <c r="V26" s="5">
        <f t="shared" si="13"/>
        <v>0</v>
      </c>
      <c r="W26" s="1"/>
      <c r="X26" s="1">
        <f t="shared" si="14"/>
        <v>18</v>
      </c>
      <c r="Y26" s="1"/>
      <c r="Z26" s="5">
        <f t="shared" si="15"/>
        <v>1.5</v>
      </c>
    </row>
    <row r="27" spans="1:26" s="24" customFormat="1" hidden="1" outlineLevel="2" x14ac:dyDescent="0.3">
      <c r="A27" s="27"/>
      <c r="B27" s="11" t="str">
        <f>CONCATENATE("          ", "6351", " - ", "EQUIPMENT RENTAL")</f>
        <v xml:space="preserve">          6351 - EQUIPMENT RENTAL</v>
      </c>
      <c r="C27" s="11"/>
      <c r="D27" s="7"/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0</v>
      </c>
      <c r="M27" s="2"/>
      <c r="N27" s="6">
        <f t="shared" si="11"/>
        <v>0</v>
      </c>
      <c r="O27" s="11"/>
      <c r="P27" s="7">
        <v>30</v>
      </c>
      <c r="Q27" s="2"/>
      <c r="R27" s="6">
        <f t="shared" si="12"/>
        <v>0</v>
      </c>
      <c r="S27" s="2"/>
      <c r="T27" s="7">
        <v>12</v>
      </c>
      <c r="U27" s="2"/>
      <c r="V27" s="6">
        <f t="shared" si="13"/>
        <v>0</v>
      </c>
      <c r="W27" s="2"/>
      <c r="X27" s="7">
        <f t="shared" si="14"/>
        <v>18</v>
      </c>
      <c r="Y27" s="2"/>
      <c r="Z27" s="6">
        <f t="shared" si="15"/>
        <v>1.5</v>
      </c>
    </row>
    <row r="28" spans="1:26" s="29" customFormat="1" outlineLevel="1" collapsed="1" x14ac:dyDescent="0.3">
      <c r="A28" s="28"/>
      <c r="B28" s="14" t="str">
        <f>CONCATENATE("     ","General                                           ")</f>
        <v xml:space="preserve">     General                                           </v>
      </c>
      <c r="C28" s="14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4"/>
      <c r="P28" s="1">
        <f>SUM(OSRRefP22_4x_0)</f>
        <v>435</v>
      </c>
      <c r="Q28" s="1"/>
      <c r="R28" s="5">
        <f t="shared" si="12"/>
        <v>0</v>
      </c>
      <c r="S28" s="1"/>
      <c r="T28" s="1">
        <f>SUM(OSRRefT22_4x_0)</f>
        <v>575</v>
      </c>
      <c r="U28" s="1"/>
      <c r="V28" s="5">
        <f t="shared" si="13"/>
        <v>0</v>
      </c>
      <c r="W28" s="1"/>
      <c r="X28" s="1">
        <f t="shared" si="14"/>
        <v>-140</v>
      </c>
      <c r="Y28" s="1"/>
      <c r="Z28" s="5">
        <f t="shared" si="15"/>
        <v>-0.24347826086956523</v>
      </c>
    </row>
    <row r="29" spans="1:26" s="24" customFormat="1" hidden="1" outlineLevel="2" x14ac:dyDescent="0.3">
      <c r="A29" s="27"/>
      <c r="B29" s="11" t="str">
        <f>CONCATENATE("          ", "6279", " - ", "GENERAL EXPENSE")</f>
        <v xml:space="preserve">          6279 - GENERAL EXPENSE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435</v>
      </c>
      <c r="Q29" s="2"/>
      <c r="R29" s="6">
        <f t="shared" si="12"/>
        <v>0</v>
      </c>
      <c r="S29" s="2"/>
      <c r="T29" s="7">
        <v>575</v>
      </c>
      <c r="U29" s="2"/>
      <c r="V29" s="6">
        <f t="shared" si="13"/>
        <v>0</v>
      </c>
      <c r="W29" s="2"/>
      <c r="X29" s="7">
        <f t="shared" si="14"/>
        <v>-140</v>
      </c>
      <c r="Y29" s="2"/>
      <c r="Z29" s="6">
        <f t="shared" si="15"/>
        <v>-0.24347826086956523</v>
      </c>
    </row>
    <row r="30" spans="1:26" s="29" customFormat="1" outlineLevel="1" collapsed="1" x14ac:dyDescent="0.3">
      <c r="A30" s="28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SUM(OSRRefD22_5x_0)</f>
        <v>324.95</v>
      </c>
      <c r="E30" s="1"/>
      <c r="F30" s="5">
        <f t="shared" si="8"/>
        <v>0</v>
      </c>
      <c r="G30" s="1"/>
      <c r="H30" s="1">
        <f>SUM(OSRRefH22_5x_0)</f>
        <v>0</v>
      </c>
      <c r="I30" s="1"/>
      <c r="J30" s="5">
        <f t="shared" si="9"/>
        <v>0</v>
      </c>
      <c r="K30" s="1"/>
      <c r="L30" s="1">
        <f t="shared" si="10"/>
        <v>324.95</v>
      </c>
      <c r="M30" s="1"/>
      <c r="N30" s="5">
        <f t="shared" si="11"/>
        <v>0</v>
      </c>
      <c r="O30" s="14"/>
      <c r="P30" s="1">
        <f>SUM(OSRRefP22_5x_0)</f>
        <v>422.78</v>
      </c>
      <c r="Q30" s="1"/>
      <c r="R30" s="5">
        <f t="shared" si="12"/>
        <v>0</v>
      </c>
      <c r="S30" s="1"/>
      <c r="T30" s="1">
        <f>SUM(OSRRefT22_5x_0)</f>
        <v>1232.0500000000002</v>
      </c>
      <c r="U30" s="1"/>
      <c r="V30" s="5">
        <f t="shared" si="13"/>
        <v>0</v>
      </c>
      <c r="W30" s="1"/>
      <c r="X30" s="1">
        <f t="shared" si="14"/>
        <v>-809.27000000000021</v>
      </c>
      <c r="Y30" s="1"/>
      <c r="Z30" s="5">
        <f t="shared" si="15"/>
        <v>-0.65684834219390453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97.83</v>
      </c>
      <c r="Q31" s="2"/>
      <c r="R31" s="6">
        <f t="shared" si="12"/>
        <v>0</v>
      </c>
      <c r="S31" s="2"/>
      <c r="T31" s="7">
        <v>214.36</v>
      </c>
      <c r="U31" s="2"/>
      <c r="V31" s="6">
        <f t="shared" si="13"/>
        <v>0</v>
      </c>
      <c r="W31" s="2"/>
      <c r="X31" s="7">
        <f t="shared" si="14"/>
        <v>-116.53000000000002</v>
      </c>
      <c r="Y31" s="2"/>
      <c r="Z31" s="6">
        <f t="shared" si="15"/>
        <v>-0.54361821235305097</v>
      </c>
    </row>
    <row r="32" spans="1:26" s="24" customFormat="1" hidden="1" outlineLevel="2" x14ac:dyDescent="0.3">
      <c r="A32" s="27"/>
      <c r="B32" s="11" t="str">
        <f>CONCATENATE("          ", "6375", " - ", "OUTSIDE REPAIRS &amp; MAINTENANCE")</f>
        <v xml:space="preserve">          6375 - OUTSIDE REPAIRS &amp; MAINTENANCE</v>
      </c>
      <c r="C32" s="11"/>
      <c r="D32" s="7">
        <v>324.95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324.95</v>
      </c>
      <c r="M32" s="2"/>
      <c r="N32" s="6">
        <f t="shared" si="11"/>
        <v>0</v>
      </c>
      <c r="O32" s="11"/>
      <c r="P32" s="7">
        <v>324.95</v>
      </c>
      <c r="Q32" s="2"/>
      <c r="R32" s="6">
        <f t="shared" si="12"/>
        <v>0</v>
      </c>
      <c r="S32" s="2"/>
      <c r="T32" s="7">
        <v>1017.69</v>
      </c>
      <c r="U32" s="2"/>
      <c r="V32" s="6">
        <f t="shared" si="13"/>
        <v>0</v>
      </c>
      <c r="W32" s="2"/>
      <c r="X32" s="7">
        <f t="shared" si="14"/>
        <v>-692.74</v>
      </c>
      <c r="Y32" s="2"/>
      <c r="Z32" s="6">
        <f t="shared" si="15"/>
        <v>-0.68069844451650308</v>
      </c>
    </row>
    <row r="33" spans="1:26" s="29" customFormat="1" outlineLevel="1" collapsed="1" x14ac:dyDescent="0.3">
      <c r="A33" s="28"/>
      <c r="B33" s="14" t="str">
        <f>CONCATENATE("     ","Services                                          ")</f>
        <v xml:space="preserve">     Services                                          </v>
      </c>
      <c r="C33" s="14"/>
      <c r="D33" s="1">
        <f>SUM(OSRRefD22_6x_0)</f>
        <v>151.85</v>
      </c>
      <c r="E33" s="1"/>
      <c r="F33" s="5">
        <f t="shared" ref="F33:F35" si="16">IF(D$12=0,0,D33/D$12)</f>
        <v>0</v>
      </c>
      <c r="G33" s="1"/>
      <c r="H33" s="1">
        <f>SUM(OSRRefH22_6x_0)</f>
        <v>141.93</v>
      </c>
      <c r="I33" s="1"/>
      <c r="J33" s="5">
        <f t="shared" ref="J33:J35" si="17">IF(H$12=0,0,H33/H$12)</f>
        <v>0</v>
      </c>
      <c r="K33" s="1"/>
      <c r="L33" s="1">
        <f t="shared" ref="L33:L35" si="18">+D33-H33</f>
        <v>9.9199999999999875</v>
      </c>
      <c r="M33" s="1"/>
      <c r="N33" s="5">
        <f t="shared" ref="N33:N35" si="19">IF(H33=0,0,L33/H33)</f>
        <v>6.9893609525822492E-2</v>
      </c>
      <c r="O33" s="14"/>
      <c r="P33" s="1">
        <f>SUM(OSRRefP22_6x_0)</f>
        <v>1185.8700000000001</v>
      </c>
      <c r="Q33" s="1"/>
      <c r="R33" s="5">
        <f t="shared" ref="R33:R35" si="20">IF(P$12=0,0,P33/P$12)</f>
        <v>0</v>
      </c>
      <c r="S33" s="1"/>
      <c r="T33" s="1">
        <f>SUM(OSRRefT22_6x_0)</f>
        <v>1034.6600000000001</v>
      </c>
      <c r="U33" s="1"/>
      <c r="V33" s="5">
        <f t="shared" ref="V33:V35" si="21">IF(T$12=0,0,T33/T$12)</f>
        <v>0</v>
      </c>
      <c r="W33" s="1"/>
      <c r="X33" s="1">
        <f t="shared" ref="X33:X35" si="22">+P33-T33</f>
        <v>151.21000000000004</v>
      </c>
      <c r="Y33" s="1"/>
      <c r="Z33" s="5">
        <f t="shared" ref="Z33:Z35" si="23">IF(T33=0,0,X33/T33)</f>
        <v>0.14614462722053623</v>
      </c>
    </row>
    <row r="34" spans="1:26" s="24" customFormat="1" hidden="1" outlineLevel="2" x14ac:dyDescent="0.3">
      <c r="A34" s="27"/>
      <c r="B34" s="11" t="str">
        <f>CONCATENATE("          ", "6282", " - ", "JANITORIAL/EXTERMINATOR EXPENS")</f>
        <v xml:space="preserve">          6282 - JANITORIAL/EXTERMINATOR EXPENS</v>
      </c>
      <c r="C34" s="11"/>
      <c r="D34" s="7">
        <v>151.85</v>
      </c>
      <c r="E34" s="2"/>
      <c r="F34" s="6">
        <f t="shared" si="16"/>
        <v>0</v>
      </c>
      <c r="G34" s="2"/>
      <c r="H34" s="7">
        <v>141.93</v>
      </c>
      <c r="I34" s="2"/>
      <c r="J34" s="6">
        <f t="shared" si="17"/>
        <v>0</v>
      </c>
      <c r="K34" s="2"/>
      <c r="L34" s="7">
        <f t="shared" si="18"/>
        <v>9.9199999999999875</v>
      </c>
      <c r="M34" s="2"/>
      <c r="N34" s="6">
        <f t="shared" si="19"/>
        <v>6.9893609525822492E-2</v>
      </c>
      <c r="O34" s="11"/>
      <c r="P34" s="7">
        <v>1062.95</v>
      </c>
      <c r="Q34" s="2"/>
      <c r="R34" s="6">
        <f t="shared" si="20"/>
        <v>0</v>
      </c>
      <c r="S34" s="2"/>
      <c r="T34" s="7">
        <v>1207.7</v>
      </c>
      <c r="U34" s="2"/>
      <c r="V34" s="6">
        <f t="shared" si="21"/>
        <v>0</v>
      </c>
      <c r="W34" s="2"/>
      <c r="X34" s="7">
        <f t="shared" si="22"/>
        <v>-144.75</v>
      </c>
      <c r="Y34" s="2"/>
      <c r="Z34" s="6">
        <f t="shared" si="23"/>
        <v>-0.11985592448455742</v>
      </c>
    </row>
    <row r="35" spans="1:26" s="24" customFormat="1" hidden="1" outlineLevel="2" x14ac:dyDescent="0.3">
      <c r="A35" s="27"/>
      <c r="B35" s="11" t="str">
        <f>CONCATENATE("          ", "6285", " - ", "JANITORIAL SERVICES")</f>
        <v xml:space="preserve">          6285 - JANITORIAL SERVICES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122.92</v>
      </c>
      <c r="Q35" s="2"/>
      <c r="R35" s="6">
        <f t="shared" si="20"/>
        <v>0</v>
      </c>
      <c r="S35" s="2"/>
      <c r="T35" s="7">
        <v>-173.04</v>
      </c>
      <c r="U35" s="2"/>
      <c r="V35" s="6">
        <f t="shared" si="21"/>
        <v>0</v>
      </c>
      <c r="W35" s="2"/>
      <c r="X35" s="7">
        <f t="shared" si="22"/>
        <v>295.95999999999998</v>
      </c>
      <c r="Y35" s="2"/>
      <c r="Z35" s="6">
        <f t="shared" si="23"/>
        <v>-1.7103559870550162</v>
      </c>
    </row>
    <row r="36" spans="1:26" s="29" customFormat="1" outlineLevel="1" collapsed="1" x14ac:dyDescent="0.3">
      <c r="A36" s="28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SUM(OSRRefD22_7x_0)</f>
        <v>60</v>
      </c>
      <c r="E36" s="1"/>
      <c r="F36" s="5">
        <f t="shared" ref="F36:F38" si="24">IF(D$12=0,0,D36/D$12)</f>
        <v>0</v>
      </c>
      <c r="G36" s="1"/>
      <c r="H36" s="1">
        <f>SUM(OSRRefH22_7x_0)</f>
        <v>0</v>
      </c>
      <c r="I36" s="1"/>
      <c r="J36" s="5">
        <f t="shared" ref="J36:J38" si="25">IF(H$12=0,0,H36/H$12)</f>
        <v>0</v>
      </c>
      <c r="K36" s="1"/>
      <c r="L36" s="1">
        <f t="shared" ref="L36:L38" si="26">+D36-H36</f>
        <v>60</v>
      </c>
      <c r="M36" s="1"/>
      <c r="N36" s="5">
        <f t="shared" ref="N36:N38" si="27">IF(H36=0,0,L36/H36)</f>
        <v>0</v>
      </c>
      <c r="O36" s="14"/>
      <c r="P36" s="1">
        <f>SUM(OSRRefP22_7x_0)</f>
        <v>62.19</v>
      </c>
      <c r="Q36" s="1"/>
      <c r="R36" s="5">
        <f t="shared" ref="R36:R38" si="28">IF(P$12=0,0,P36/P$12)</f>
        <v>0</v>
      </c>
      <c r="S36" s="1"/>
      <c r="T36" s="1">
        <f>SUM(OSRRefT22_7x_0)</f>
        <v>0</v>
      </c>
      <c r="U36" s="1"/>
      <c r="V36" s="5">
        <f t="shared" ref="V36:V38" si="29">IF(T$12=0,0,T36/T$12)</f>
        <v>0</v>
      </c>
      <c r="W36" s="1"/>
      <c r="X36" s="1">
        <f t="shared" ref="X36:X38" si="30">+P36-T36</f>
        <v>62.19</v>
      </c>
      <c r="Y36" s="1"/>
      <c r="Z36" s="5">
        <f t="shared" ref="Z36:Z38" si="31">IF(T36=0,0,X36/T36)</f>
        <v>0</v>
      </c>
    </row>
    <row r="37" spans="1:26" s="24" customFormat="1" hidden="1" outlineLevel="2" x14ac:dyDescent="0.3">
      <c r="A37" s="27"/>
      <c r="B37" s="11" t="str">
        <f>CONCATENATE("          ", "6241", " - ", "OFFICE EXPENSE")</f>
        <v xml:space="preserve">          6241 - OFFICE EXPENSE</v>
      </c>
      <c r="C37" s="11"/>
      <c r="D37" s="7"/>
      <c r="E37" s="2"/>
      <c r="F37" s="6">
        <f t="shared" si="24"/>
        <v>0</v>
      </c>
      <c r="G37" s="2"/>
      <c r="H37" s="7"/>
      <c r="I37" s="2"/>
      <c r="J37" s="6">
        <f t="shared" si="25"/>
        <v>0</v>
      </c>
      <c r="K37" s="2"/>
      <c r="L37" s="7">
        <f t="shared" si="26"/>
        <v>0</v>
      </c>
      <c r="M37" s="2"/>
      <c r="N37" s="6">
        <f t="shared" si="27"/>
        <v>0</v>
      </c>
      <c r="O37" s="11"/>
      <c r="P37" s="7">
        <v>2.19</v>
      </c>
      <c r="Q37" s="2"/>
      <c r="R37" s="6">
        <f t="shared" si="28"/>
        <v>0</v>
      </c>
      <c r="S37" s="2"/>
      <c r="T37" s="7"/>
      <c r="U37" s="2"/>
      <c r="V37" s="6">
        <f t="shared" si="29"/>
        <v>0</v>
      </c>
      <c r="W37" s="2"/>
      <c r="X37" s="7">
        <f t="shared" si="30"/>
        <v>2.19</v>
      </c>
      <c r="Y37" s="2"/>
      <c r="Z37" s="6">
        <f t="shared" si="31"/>
        <v>0</v>
      </c>
    </row>
    <row r="38" spans="1:26" s="24" customFormat="1" hidden="1" outlineLevel="2" x14ac:dyDescent="0.3">
      <c r="A38" s="27"/>
      <c r="B38" s="11" t="str">
        <f>CONCATENATE("          ", "6247", " - ", "STORE SUPPLIES")</f>
        <v xml:space="preserve">          6247 - STORE SUPPLIES</v>
      </c>
      <c r="C38" s="11"/>
      <c r="D38" s="7">
        <v>60</v>
      </c>
      <c r="E38" s="2"/>
      <c r="F38" s="6">
        <f t="shared" si="24"/>
        <v>0</v>
      </c>
      <c r="G38" s="2"/>
      <c r="H38" s="7"/>
      <c r="I38" s="2"/>
      <c r="J38" s="6">
        <f t="shared" si="25"/>
        <v>0</v>
      </c>
      <c r="K38" s="2"/>
      <c r="L38" s="7">
        <f t="shared" si="26"/>
        <v>60</v>
      </c>
      <c r="M38" s="2"/>
      <c r="N38" s="6">
        <f t="shared" si="27"/>
        <v>0</v>
      </c>
      <c r="O38" s="11"/>
      <c r="P38" s="7">
        <v>60</v>
      </c>
      <c r="Q38" s="2"/>
      <c r="R38" s="6">
        <f t="shared" si="28"/>
        <v>0</v>
      </c>
      <c r="S38" s="2"/>
      <c r="T38" s="7"/>
      <c r="U38" s="2"/>
      <c r="V38" s="6">
        <f t="shared" si="29"/>
        <v>0</v>
      </c>
      <c r="W38" s="2"/>
      <c r="X38" s="7">
        <f t="shared" si="30"/>
        <v>60</v>
      </c>
      <c r="Y38" s="2"/>
      <c r="Z38" s="6">
        <f t="shared" si="31"/>
        <v>0</v>
      </c>
    </row>
    <row r="39" spans="1:26" s="29" customFormat="1" outlineLevel="1" collapsed="1" x14ac:dyDescent="0.3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SUM(OSRRefD22_8x_0)</f>
        <v>30</v>
      </c>
      <c r="E39" s="1"/>
      <c r="F39" s="5">
        <f t="shared" ref="F39:F40" si="32">IF(D$12=0,0,D39/D$12)</f>
        <v>0</v>
      </c>
      <c r="G39" s="1"/>
      <c r="H39" s="1">
        <f>SUM(OSRRefH22_8x_0)</f>
        <v>30</v>
      </c>
      <c r="I39" s="1"/>
      <c r="J39" s="5">
        <f t="shared" ref="J39:J40" si="33">IF(H$12=0,0,H39/H$12)</f>
        <v>0</v>
      </c>
      <c r="K39" s="1"/>
      <c r="L39" s="1">
        <f t="shared" ref="L39:L40" si="34">+D39-H39</f>
        <v>0</v>
      </c>
      <c r="M39" s="1"/>
      <c r="N39" s="5">
        <f t="shared" ref="N39:N40" si="35">IF(H39=0,0,L39/H39)</f>
        <v>0</v>
      </c>
      <c r="O39" s="14"/>
      <c r="P39" s="1">
        <f>SUM(OSRRefP22_8x_0)</f>
        <v>210</v>
      </c>
      <c r="Q39" s="1"/>
      <c r="R39" s="5">
        <f t="shared" ref="R39:R40" si="36">IF(P$12=0,0,P39/P$12)</f>
        <v>0</v>
      </c>
      <c r="S39" s="1"/>
      <c r="T39" s="1">
        <f>SUM(OSRRefT22_8x_0)</f>
        <v>304.32</v>
      </c>
      <c r="U39" s="1"/>
      <c r="V39" s="5">
        <f t="shared" ref="V39:V40" si="37">IF(T$12=0,0,T39/T$12)</f>
        <v>0</v>
      </c>
      <c r="W39" s="1"/>
      <c r="X39" s="1">
        <f t="shared" ref="X39:X40" si="38">+P39-T39</f>
        <v>-94.32</v>
      </c>
      <c r="Y39" s="1"/>
      <c r="Z39" s="5">
        <f t="shared" ref="Z39:Z40" si="39">IF(T39=0,0,X39/T39)</f>
        <v>-0.30993690851735012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7">
        <v>30</v>
      </c>
      <c r="E40" s="2"/>
      <c r="F40" s="6">
        <f t="shared" si="32"/>
        <v>0</v>
      </c>
      <c r="G40" s="2"/>
      <c r="H40" s="7">
        <v>30</v>
      </c>
      <c r="I40" s="2"/>
      <c r="J40" s="6">
        <f t="shared" si="33"/>
        <v>0</v>
      </c>
      <c r="K40" s="2"/>
      <c r="L40" s="7">
        <f t="shared" si="34"/>
        <v>0</v>
      </c>
      <c r="M40" s="2"/>
      <c r="N40" s="6">
        <f t="shared" si="35"/>
        <v>0</v>
      </c>
      <c r="O40" s="11"/>
      <c r="P40" s="7">
        <v>210</v>
      </c>
      <c r="Q40" s="2"/>
      <c r="R40" s="6">
        <f t="shared" si="36"/>
        <v>0</v>
      </c>
      <c r="S40" s="2"/>
      <c r="T40" s="7">
        <v>304.32</v>
      </c>
      <c r="U40" s="2"/>
      <c r="V40" s="6">
        <f t="shared" si="37"/>
        <v>0</v>
      </c>
      <c r="W40" s="2"/>
      <c r="X40" s="7">
        <f t="shared" si="38"/>
        <v>-94.32</v>
      </c>
      <c r="Y40" s="2"/>
      <c r="Z40" s="6">
        <f t="shared" si="39"/>
        <v>-0.30993690851735012</v>
      </c>
    </row>
    <row r="41" spans="1:26" s="52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5" t="s">
        <v>276</v>
      </c>
      <c r="C44" s="25"/>
      <c r="D44" s="21">
        <f>+D17-D19+D42</f>
        <v>-4783.3500000000004</v>
      </c>
      <c r="E44" s="13"/>
      <c r="F44" s="22">
        <f>IF(D$12=0,0,D44/D$12)</f>
        <v>0</v>
      </c>
      <c r="G44" s="13"/>
      <c r="H44" s="21">
        <f>+H17-H19+H42</f>
        <v>-760.09999999999991</v>
      </c>
      <c r="I44" s="13"/>
      <c r="J44" s="22">
        <f>IF(H$12=0,0,H44/H$12)</f>
        <v>0</v>
      </c>
      <c r="K44" s="15"/>
      <c r="L44" s="21">
        <f>+D44-H44</f>
        <v>-4023.2500000000005</v>
      </c>
      <c r="M44" s="15"/>
      <c r="N44" s="22">
        <f>IF(H44=0,0,L44/H44)</f>
        <v>5.2930535455861083</v>
      </c>
      <c r="O44" s="26"/>
      <c r="P44" s="21">
        <f>+P17-P19+P42</f>
        <v>-10096.029999999999</v>
      </c>
      <c r="Q44" s="13"/>
      <c r="R44" s="22">
        <f>IF(P$12=0,0,P44/P$12)</f>
        <v>0</v>
      </c>
      <c r="S44" s="13"/>
      <c r="T44" s="21">
        <f>+T17-T19+T42</f>
        <v>-7010.9999999999982</v>
      </c>
      <c r="U44" s="13"/>
      <c r="V44" s="22">
        <f>IF(T$12=0,0,T44/T$12)</f>
        <v>0</v>
      </c>
      <c r="W44" s="15"/>
      <c r="X44" s="21">
        <f>+P44-T44</f>
        <v>-3085.0300000000007</v>
      </c>
      <c r="Y44" s="15"/>
      <c r="Z44" s="22">
        <f>IF(T44=0,0,X44/T44)</f>
        <v>0.44002710027100289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5" t="s">
        <v>125</v>
      </c>
      <c r="C48" s="25"/>
      <c r="D48" s="36">
        <f>+D44-D46</f>
        <v>-4783.3500000000004</v>
      </c>
      <c r="E48" s="13"/>
      <c r="F48" s="31">
        <f>IF(D$12=0,0,D48/D$12)</f>
        <v>0</v>
      </c>
      <c r="G48" s="13"/>
      <c r="H48" s="36">
        <f>+H44-H46</f>
        <v>-760.09999999999991</v>
      </c>
      <c r="I48" s="13"/>
      <c r="J48" s="31">
        <f>IF(H$12=0,0,H48/H$12)</f>
        <v>0</v>
      </c>
      <c r="K48" s="15"/>
      <c r="L48" s="36">
        <f>D48-H48</f>
        <v>-4023.2500000000005</v>
      </c>
      <c r="M48" s="15"/>
      <c r="N48" s="31">
        <f>IF(H48=0,0,L48/H48)</f>
        <v>5.2930535455861083</v>
      </c>
      <c r="O48" s="26"/>
      <c r="P48" s="36">
        <f>+P44-P46</f>
        <v>-10096.029999999999</v>
      </c>
      <c r="Q48" s="13"/>
      <c r="R48" s="31">
        <f>IF(P$12=0,0,P48/P$12)</f>
        <v>0</v>
      </c>
      <c r="S48" s="13"/>
      <c r="T48" s="36">
        <f>+T44-T46</f>
        <v>-7010.9999999999982</v>
      </c>
      <c r="U48" s="13"/>
      <c r="V48" s="31">
        <f>IF(T$12=0,0,T48/T$12)</f>
        <v>0</v>
      </c>
      <c r="W48" s="15"/>
      <c r="X48" s="36">
        <f>P48-T48</f>
        <v>-3085.0300000000007</v>
      </c>
      <c r="Y48" s="15"/>
      <c r="Z48" s="31">
        <f>IF(T48=0,0,X48/T48)</f>
        <v>0.44002710027100289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293</v>
      </c>
      <c r="C51" s="25"/>
      <c r="D51" s="35">
        <f>SUM(D48:D50)</f>
        <v>-4783.3500000000004</v>
      </c>
      <c r="E51" s="13"/>
      <c r="F51" s="32">
        <f>IF(D$12=0,0,D51/D$12)</f>
        <v>0</v>
      </c>
      <c r="G51" s="13"/>
      <c r="H51" s="35">
        <f>SUM(H48:H50)</f>
        <v>-760.09999999999991</v>
      </c>
      <c r="I51" s="13"/>
      <c r="J51" s="32">
        <f>IF(H$12=0,0,H51/H$12)</f>
        <v>0</v>
      </c>
      <c r="K51" s="15"/>
      <c r="L51" s="35">
        <f>+D51-H51</f>
        <v>-4023.2500000000005</v>
      </c>
      <c r="M51" s="15"/>
      <c r="N51" s="32">
        <f>IF(H51=0,0,L51/H51)</f>
        <v>5.2930535455861083</v>
      </c>
      <c r="O51" s="26"/>
      <c r="P51" s="35">
        <f>SUM(P48:P50)</f>
        <v>-10096.029999999999</v>
      </c>
      <c r="Q51" s="13"/>
      <c r="R51" s="32">
        <f>IF(P$12=0,0,P51/P$12)</f>
        <v>0</v>
      </c>
      <c r="S51" s="13"/>
      <c r="T51" s="35">
        <f>SUM(T48:T50)</f>
        <v>-7010.9999999999982</v>
      </c>
      <c r="U51" s="13"/>
      <c r="V51" s="32">
        <f>IF(T$12=0,0,T51/T$12)</f>
        <v>0</v>
      </c>
      <c r="W51" s="15"/>
      <c r="X51" s="35">
        <f>+P51-T51</f>
        <v>-3085.0300000000007</v>
      </c>
      <c r="Y51" s="15"/>
      <c r="Z51" s="32">
        <f>IF(T51=0,0,X51/T51)</f>
        <v>0.44002710027100289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3">
      <c r="A53" s="9"/>
      <c r="B53" s="54">
        <v>44604.028475694446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3">
      <c r="A54" s="9"/>
      <c r="B54" s="53" t="s">
        <v>56</v>
      </c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","313", " - ", "Convenience Store")</f>
        <v>Department 313 - Convenience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3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0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0</v>
      </c>
      <c r="M18" s="4"/>
      <c r="N18" s="12">
        <f t="shared" ref="N18:N19" si="11">IF(H18=0,0,L18/H18)</f>
        <v>0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/>
      <c r="I19" s="2"/>
      <c r="J19" s="19">
        <f t="shared" si="9"/>
        <v>0</v>
      </c>
      <c r="K19" s="2"/>
      <c r="L19" s="2">
        <f t="shared" si="10"/>
        <v>0</v>
      </c>
      <c r="M19" s="2"/>
      <c r="N19" s="19">
        <f t="shared" si="11"/>
        <v>0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D12-D18</f>
        <v>0</v>
      </c>
      <c r="E21" s="13"/>
      <c r="F21" s="22">
        <f>IF(D$12=0,0,D21/D$12)</f>
        <v>0</v>
      </c>
      <c r="G21" s="13"/>
      <c r="H21" s="21">
        <f>H12-H18</f>
        <v>0</v>
      </c>
      <c r="I21" s="13"/>
      <c r="J21" s="22">
        <f>IF(H$12=0,0,H21/H$12)</f>
        <v>0</v>
      </c>
      <c r="K21" s="15"/>
      <c r="L21" s="21">
        <f>+D21-H21</f>
        <v>0</v>
      </c>
      <c r="M21" s="15"/>
      <c r="N21" s="22">
        <f>IF(H21=0,0,L21/H21)</f>
        <v>0</v>
      </c>
      <c r="O21" s="26"/>
      <c r="P21" s="21">
        <f>P12-P18</f>
        <v>0</v>
      </c>
      <c r="Q21" s="13"/>
      <c r="R21" s="22">
        <f>IF(P$12=0,0,P21/P$12)</f>
        <v>0</v>
      </c>
      <c r="S21" s="13"/>
      <c r="T21" s="21">
        <f>T12-T18</f>
        <v>613.59</v>
      </c>
      <c r="U21" s="13"/>
      <c r="V21" s="22">
        <f>IF(T$12=0,0,T21/T$12)</f>
        <v>0</v>
      </c>
      <c r="W21" s="15"/>
      <c r="X21" s="21">
        <f>+P21-T21</f>
        <v>-613.59</v>
      </c>
      <c r="Y21" s="15"/>
      <c r="Z21" s="22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0</v>
      </c>
      <c r="E23" s="20"/>
      <c r="F23" s="30">
        <f t="shared" ref="F23:F32" si="16">IF(D$12=0,0,D23/D$12)</f>
        <v>0</v>
      </c>
      <c r="G23" s="20"/>
      <c r="H23" s="20">
        <f>SUM(OSRRefH22x_0)</f>
        <v>80.17</v>
      </c>
      <c r="I23" s="20"/>
      <c r="J23" s="30">
        <f t="shared" ref="J23:J32" si="17">IF(H$12=0,0,H23/H$12)</f>
        <v>0</v>
      </c>
      <c r="K23" s="4"/>
      <c r="L23" s="20">
        <f t="shared" ref="L23:L32" si="18">+D23-H23</f>
        <v>-80.17</v>
      </c>
      <c r="M23" s="4"/>
      <c r="N23" s="30">
        <f t="shared" ref="N23:N32" si="19">IF(H23=0,0,L23/H23)</f>
        <v>-1</v>
      </c>
      <c r="O23" s="10"/>
      <c r="P23" s="20">
        <f>SUM(OSRRefP22x_0)</f>
        <v>0</v>
      </c>
      <c r="Q23" s="20"/>
      <c r="R23" s="30">
        <f t="shared" ref="R23:R32" si="20">IF(P$12=0,0,P23/P$12)</f>
        <v>0</v>
      </c>
      <c r="S23" s="20"/>
      <c r="T23" s="20">
        <f>SUM(OSRRefT22x_0)</f>
        <v>46342.07</v>
      </c>
      <c r="U23" s="20"/>
      <c r="V23" s="30">
        <f t="shared" ref="V23:V32" si="21">IF(T$12=0,0,T23/T$12)</f>
        <v>0</v>
      </c>
      <c r="W23" s="4"/>
      <c r="X23" s="20">
        <f t="shared" ref="X23:X32" si="22">+P23-T23</f>
        <v>-46342.07</v>
      </c>
      <c r="Y23" s="4"/>
      <c r="Z23" s="30">
        <f t="shared" ref="Z23:Z32" si="23">IF(T23=0,0,X23/T23)</f>
        <v>-1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0</v>
      </c>
      <c r="I24" s="1"/>
      <c r="J24" s="5">
        <f t="shared" si="17"/>
        <v>0</v>
      </c>
      <c r="K24" s="1"/>
      <c r="L24" s="1">
        <f t="shared" si="18"/>
        <v>0</v>
      </c>
      <c r="M24" s="1"/>
      <c r="N24" s="5">
        <f t="shared" si="19"/>
        <v>0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21787.579999999998</v>
      </c>
      <c r="U24" s="1"/>
      <c r="V24" s="5">
        <f t="shared" si="21"/>
        <v>0</v>
      </c>
      <c r="W24" s="1"/>
      <c r="X24" s="1">
        <f t="shared" si="22"/>
        <v>-21787.579999999998</v>
      </c>
      <c r="Y24" s="1"/>
      <c r="Z24" s="5">
        <f t="shared" si="23"/>
        <v>-1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6"/>
        <v>0</v>
      </c>
      <c r="G25" s="2"/>
      <c r="H25" s="7"/>
      <c r="I25" s="2"/>
      <c r="J25" s="6">
        <f t="shared" si="17"/>
        <v>0</v>
      </c>
      <c r="K25" s="2"/>
      <c r="L25" s="7">
        <f t="shared" si="18"/>
        <v>0</v>
      </c>
      <c r="M25" s="2"/>
      <c r="N25" s="6">
        <f t="shared" si="19"/>
        <v>0</v>
      </c>
      <c r="O25" s="11"/>
      <c r="P25" s="7"/>
      <c r="Q25" s="2"/>
      <c r="R25" s="6">
        <f t="shared" si="20"/>
        <v>0</v>
      </c>
      <c r="S25" s="2"/>
      <c r="T25" s="7">
        <v>1924.35</v>
      </c>
      <c r="U25" s="2"/>
      <c r="V25" s="6">
        <f t="shared" si="21"/>
        <v>0</v>
      </c>
      <c r="W25" s="2"/>
      <c r="X25" s="7">
        <f t="shared" si="22"/>
        <v>-1924.35</v>
      </c>
      <c r="Y25" s="2"/>
      <c r="Z25" s="6">
        <f t="shared" si="23"/>
        <v>-1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6"/>
        <v>0</v>
      </c>
      <c r="G26" s="2"/>
      <c r="H26" s="7"/>
      <c r="I26" s="2"/>
      <c r="J26" s="6">
        <f t="shared" si="17"/>
        <v>0</v>
      </c>
      <c r="K26" s="2"/>
      <c r="L26" s="7">
        <f t="shared" si="18"/>
        <v>0</v>
      </c>
      <c r="M26" s="2"/>
      <c r="N26" s="6">
        <f t="shared" si="19"/>
        <v>0</v>
      </c>
      <c r="O26" s="11"/>
      <c r="P26" s="7"/>
      <c r="Q26" s="2"/>
      <c r="R26" s="6">
        <f t="shared" si="20"/>
        <v>0</v>
      </c>
      <c r="S26" s="2"/>
      <c r="T26" s="7">
        <v>499.06</v>
      </c>
      <c r="U26" s="2"/>
      <c r="V26" s="6">
        <f t="shared" si="21"/>
        <v>0</v>
      </c>
      <c r="W26" s="2"/>
      <c r="X26" s="7">
        <f t="shared" si="22"/>
        <v>-499.06</v>
      </c>
      <c r="Y26" s="2"/>
      <c r="Z26" s="6">
        <f t="shared" si="23"/>
        <v>-1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/>
      <c r="Q27" s="2"/>
      <c r="R27" s="6">
        <f t="shared" si="20"/>
        <v>0</v>
      </c>
      <c r="S27" s="2"/>
      <c r="T27" s="7">
        <v>12083.19</v>
      </c>
      <c r="U27" s="2"/>
      <c r="V27" s="6">
        <f t="shared" si="21"/>
        <v>0</v>
      </c>
      <c r="W27" s="2"/>
      <c r="X27" s="7">
        <f t="shared" si="22"/>
        <v>-12083.19</v>
      </c>
      <c r="Y27" s="2"/>
      <c r="Z27" s="6">
        <f t="shared" si="23"/>
        <v>-1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6"/>
        <v>0</v>
      </c>
      <c r="G28" s="2"/>
      <c r="H28" s="7"/>
      <c r="I28" s="2"/>
      <c r="J28" s="6">
        <f t="shared" si="17"/>
        <v>0</v>
      </c>
      <c r="K28" s="2"/>
      <c r="L28" s="7">
        <f t="shared" si="18"/>
        <v>0</v>
      </c>
      <c r="M28" s="2"/>
      <c r="N28" s="6">
        <f t="shared" si="19"/>
        <v>0</v>
      </c>
      <c r="O28" s="11"/>
      <c r="P28" s="7"/>
      <c r="Q28" s="2"/>
      <c r="R28" s="6">
        <f t="shared" si="20"/>
        <v>0</v>
      </c>
      <c r="S28" s="2"/>
      <c r="T28" s="7">
        <v>70.14</v>
      </c>
      <c r="U28" s="2"/>
      <c r="V28" s="6">
        <f t="shared" si="21"/>
        <v>0</v>
      </c>
      <c r="W28" s="2"/>
      <c r="X28" s="7">
        <f t="shared" si="22"/>
        <v>-70.14</v>
      </c>
      <c r="Y28" s="2"/>
      <c r="Z28" s="6">
        <f t="shared" si="23"/>
        <v>-1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6"/>
        <v>0</v>
      </c>
      <c r="G29" s="2"/>
      <c r="H29" s="7"/>
      <c r="I29" s="2"/>
      <c r="J29" s="6">
        <f t="shared" si="17"/>
        <v>0</v>
      </c>
      <c r="K29" s="2"/>
      <c r="L29" s="7">
        <f t="shared" si="18"/>
        <v>0</v>
      </c>
      <c r="M29" s="2"/>
      <c r="N29" s="6">
        <f t="shared" si="19"/>
        <v>0</v>
      </c>
      <c r="O29" s="11"/>
      <c r="P29" s="7"/>
      <c r="Q29" s="2"/>
      <c r="R29" s="6">
        <f t="shared" si="20"/>
        <v>0</v>
      </c>
      <c r="S29" s="2"/>
      <c r="T29" s="7">
        <v>3490.92</v>
      </c>
      <c r="U29" s="2"/>
      <c r="V29" s="6">
        <f t="shared" si="21"/>
        <v>0</v>
      </c>
      <c r="W29" s="2"/>
      <c r="X29" s="7">
        <f t="shared" si="22"/>
        <v>-3490.92</v>
      </c>
      <c r="Y29" s="2"/>
      <c r="Z29" s="6">
        <f t="shared" si="23"/>
        <v>-1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6"/>
        <v>0</v>
      </c>
      <c r="G30" s="2"/>
      <c r="H30" s="7"/>
      <c r="I30" s="2"/>
      <c r="J30" s="6">
        <f t="shared" si="17"/>
        <v>0</v>
      </c>
      <c r="K30" s="2"/>
      <c r="L30" s="7">
        <f t="shared" si="18"/>
        <v>0</v>
      </c>
      <c r="M30" s="2"/>
      <c r="N30" s="6">
        <f t="shared" si="19"/>
        <v>0</v>
      </c>
      <c r="O30" s="11"/>
      <c r="P30" s="7"/>
      <c r="Q30" s="2"/>
      <c r="R30" s="6">
        <f t="shared" si="20"/>
        <v>0</v>
      </c>
      <c r="S30" s="2"/>
      <c r="T30" s="7">
        <v>2035.3</v>
      </c>
      <c r="U30" s="2"/>
      <c r="V30" s="6">
        <f t="shared" si="21"/>
        <v>0</v>
      </c>
      <c r="W30" s="2"/>
      <c r="X30" s="7">
        <f t="shared" si="22"/>
        <v>-2035.3</v>
      </c>
      <c r="Y30" s="2"/>
      <c r="Z30" s="6">
        <f t="shared" si="23"/>
        <v>-1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/>
      <c r="Q31" s="2"/>
      <c r="R31" s="6">
        <f t="shared" si="20"/>
        <v>0</v>
      </c>
      <c r="S31" s="2"/>
      <c r="T31" s="7">
        <v>1283.8</v>
      </c>
      <c r="U31" s="2"/>
      <c r="V31" s="6">
        <f t="shared" si="21"/>
        <v>0</v>
      </c>
      <c r="W31" s="2"/>
      <c r="X31" s="7">
        <f t="shared" si="22"/>
        <v>-1283.8</v>
      </c>
      <c r="Y31" s="2"/>
      <c r="Z31" s="6">
        <f t="shared" si="23"/>
        <v>-1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400.82</v>
      </c>
      <c r="U32" s="2"/>
      <c r="V32" s="6">
        <f t="shared" si="21"/>
        <v>0</v>
      </c>
      <c r="W32" s="2"/>
      <c r="X32" s="7">
        <f t="shared" si="22"/>
        <v>-400.82</v>
      </c>
      <c r="Y32" s="2"/>
      <c r="Z32" s="6">
        <f t="shared" si="23"/>
        <v>-1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6" si="24">IF(D$12=0,0,D33/D$12)</f>
        <v>0</v>
      </c>
      <c r="G33" s="1"/>
      <c r="H33" s="1">
        <f>SUM(OSRRefH22_1x_0)</f>
        <v>0</v>
      </c>
      <c r="I33" s="1"/>
      <c r="J33" s="5">
        <f t="shared" ref="J33:J46" si="25">IF(H$12=0,0,H33/H$12)</f>
        <v>0</v>
      </c>
      <c r="K33" s="1"/>
      <c r="L33" s="1">
        <f t="shared" ref="L33:L46" si="26">+D33-H33</f>
        <v>0</v>
      </c>
      <c r="M33" s="1"/>
      <c r="N33" s="5">
        <f t="shared" ref="N33:N46" si="27">IF(H33=0,0,L33/H33)</f>
        <v>0</v>
      </c>
      <c r="O33" s="14"/>
      <c r="P33" s="1">
        <f>SUM(OSRRefP22_1x_0)</f>
        <v>0</v>
      </c>
      <c r="Q33" s="1"/>
      <c r="R33" s="5">
        <f t="shared" ref="R33:R46" si="28">IF(P$12=0,0,P33/P$12)</f>
        <v>0</v>
      </c>
      <c r="S33" s="1"/>
      <c r="T33" s="1">
        <f>SUM(OSRRefT22_1x_0)</f>
        <v>23136.42</v>
      </c>
      <c r="U33" s="1"/>
      <c r="V33" s="5">
        <f t="shared" ref="V33:V46" si="29">IF(T$12=0,0,T33/T$12)</f>
        <v>0</v>
      </c>
      <c r="W33" s="1"/>
      <c r="X33" s="1">
        <f t="shared" ref="X33:X46" si="30">+P33-T33</f>
        <v>-23136.42</v>
      </c>
      <c r="Y33" s="1"/>
      <c r="Z33" s="5">
        <f t="shared" ref="Z33:Z46" si="31">IF(T33=0,0,X33/T33)</f>
        <v>-1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4"/>
        <v>0</v>
      </c>
      <c r="G34" s="2"/>
      <c r="H34" s="7"/>
      <c r="I34" s="2"/>
      <c r="J34" s="6">
        <f t="shared" si="25"/>
        <v>0</v>
      </c>
      <c r="K34" s="2"/>
      <c r="L34" s="7">
        <f t="shared" si="26"/>
        <v>0</v>
      </c>
      <c r="M34" s="2"/>
      <c r="N34" s="6">
        <f t="shared" si="27"/>
        <v>0</v>
      </c>
      <c r="O34" s="11"/>
      <c r="P34" s="7"/>
      <c r="Q34" s="2"/>
      <c r="R34" s="6">
        <f t="shared" si="28"/>
        <v>0</v>
      </c>
      <c r="S34" s="2"/>
      <c r="T34" s="7">
        <v>23136.42</v>
      </c>
      <c r="U34" s="2"/>
      <c r="V34" s="6">
        <f t="shared" si="29"/>
        <v>0</v>
      </c>
      <c r="W34" s="2"/>
      <c r="X34" s="7">
        <f t="shared" si="30"/>
        <v>-23136.42</v>
      </c>
      <c r="Y34" s="2"/>
      <c r="Z34" s="6">
        <f t="shared" si="31"/>
        <v>-1</v>
      </c>
    </row>
    <row r="35" spans="1:26" s="29" customFormat="1" outlineLevel="1" collapsed="1" x14ac:dyDescent="0.3">
      <c r="A35" s="28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0</v>
      </c>
      <c r="I35" s="1"/>
      <c r="J35" s="5">
        <f t="shared" si="25"/>
        <v>0</v>
      </c>
      <c r="K35" s="1"/>
      <c r="L35" s="1">
        <f t="shared" si="26"/>
        <v>0</v>
      </c>
      <c r="M35" s="1"/>
      <c r="N35" s="5">
        <f t="shared" si="27"/>
        <v>0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240</v>
      </c>
      <c r="U35" s="1"/>
      <c r="V35" s="5">
        <f t="shared" si="29"/>
        <v>0</v>
      </c>
      <c r="W35" s="1"/>
      <c r="X35" s="1">
        <f t="shared" si="30"/>
        <v>-240</v>
      </c>
      <c r="Y35" s="1"/>
      <c r="Z35" s="5">
        <f t="shared" si="31"/>
        <v>-1</v>
      </c>
    </row>
    <row r="36" spans="1:26" s="24" customFormat="1" hidden="1" outlineLevel="2" x14ac:dyDescent="0.3">
      <c r="A36" s="27"/>
      <c r="B36" s="11" t="str">
        <f>CONCATENATE("          ", "6381", " - ", "BANK/CREDIT CARD FEES")</f>
        <v xml:space="preserve">          6381 - BANK/CREDIT CARD FEES</v>
      </c>
      <c r="C36" s="11"/>
      <c r="D36" s="7"/>
      <c r="E36" s="2"/>
      <c r="F36" s="6">
        <f t="shared" si="24"/>
        <v>0</v>
      </c>
      <c r="G36" s="2"/>
      <c r="H36" s="7"/>
      <c r="I36" s="2"/>
      <c r="J36" s="6">
        <f t="shared" si="25"/>
        <v>0</v>
      </c>
      <c r="K36" s="2"/>
      <c r="L36" s="7">
        <f t="shared" si="26"/>
        <v>0</v>
      </c>
      <c r="M36" s="2"/>
      <c r="N36" s="6">
        <f t="shared" si="27"/>
        <v>0</v>
      </c>
      <c r="O36" s="11"/>
      <c r="P36" s="7"/>
      <c r="Q36" s="2"/>
      <c r="R36" s="6">
        <f t="shared" si="28"/>
        <v>0</v>
      </c>
      <c r="S36" s="2"/>
      <c r="T36" s="7">
        <v>240</v>
      </c>
      <c r="U36" s="2"/>
      <c r="V36" s="6">
        <f t="shared" si="29"/>
        <v>0</v>
      </c>
      <c r="W36" s="2"/>
      <c r="X36" s="7">
        <f t="shared" si="30"/>
        <v>-240</v>
      </c>
      <c r="Y36" s="2"/>
      <c r="Z36" s="6">
        <f t="shared" si="31"/>
        <v>-1</v>
      </c>
    </row>
    <row r="37" spans="1:26" s="29" customFormat="1" outlineLevel="1" collapsed="1" x14ac:dyDescent="0.3">
      <c r="A37" s="28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8.17</v>
      </c>
      <c r="I37" s="1"/>
      <c r="J37" s="5">
        <f t="shared" si="25"/>
        <v>0</v>
      </c>
      <c r="K37" s="1"/>
      <c r="L37" s="1">
        <f t="shared" si="26"/>
        <v>-8.17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117.43</v>
      </c>
      <c r="U37" s="1"/>
      <c r="V37" s="5">
        <f t="shared" si="29"/>
        <v>0</v>
      </c>
      <c r="W37" s="1"/>
      <c r="X37" s="1">
        <f t="shared" si="30"/>
        <v>-117.43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"6305", " - ", "FREIGHT OUT")</f>
        <v xml:space="preserve">          6305 - FREIGHT OUT</v>
      </c>
      <c r="C38" s="11"/>
      <c r="D38" s="7"/>
      <c r="E38" s="2"/>
      <c r="F38" s="6">
        <f t="shared" si="24"/>
        <v>0</v>
      </c>
      <c r="G38" s="2"/>
      <c r="H38" s="7">
        <v>8.17</v>
      </c>
      <c r="I38" s="2"/>
      <c r="J38" s="6">
        <f t="shared" si="25"/>
        <v>0</v>
      </c>
      <c r="K38" s="2"/>
      <c r="L38" s="7">
        <f t="shared" si="26"/>
        <v>-8.17</v>
      </c>
      <c r="M38" s="2"/>
      <c r="N38" s="6">
        <f t="shared" si="27"/>
        <v>-1</v>
      </c>
      <c r="O38" s="11"/>
      <c r="P38" s="7"/>
      <c r="Q38" s="2"/>
      <c r="R38" s="6">
        <f t="shared" si="28"/>
        <v>0</v>
      </c>
      <c r="S38" s="2"/>
      <c r="T38" s="7">
        <v>117.43</v>
      </c>
      <c r="U38" s="2"/>
      <c r="V38" s="6">
        <f t="shared" si="29"/>
        <v>0</v>
      </c>
      <c r="W38" s="2"/>
      <c r="X38" s="7">
        <f t="shared" si="30"/>
        <v>-117.43</v>
      </c>
      <c r="Y38" s="2"/>
      <c r="Z38" s="6">
        <f t="shared" si="31"/>
        <v>-1</v>
      </c>
    </row>
    <row r="39" spans="1:26" s="29" customFormat="1" outlineLevel="1" collapsed="1" x14ac:dyDescent="0.3">
      <c r="A39" s="28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0</v>
      </c>
      <c r="I39" s="1"/>
      <c r="J39" s="5">
        <f t="shared" si="25"/>
        <v>0</v>
      </c>
      <c r="K39" s="1"/>
      <c r="L39" s="1">
        <f t="shared" si="26"/>
        <v>0</v>
      </c>
      <c r="M39" s="1"/>
      <c r="N39" s="5">
        <f t="shared" si="27"/>
        <v>0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160</v>
      </c>
      <c r="U39" s="1"/>
      <c r="V39" s="5">
        <f t="shared" si="29"/>
        <v>0</v>
      </c>
      <c r="W39" s="1"/>
      <c r="X39" s="1">
        <f t="shared" si="30"/>
        <v>-160</v>
      </c>
      <c r="Y39" s="1"/>
      <c r="Z39" s="5">
        <f t="shared" si="31"/>
        <v>-1</v>
      </c>
    </row>
    <row r="40" spans="1:26" s="24" customFormat="1" hidden="1" outlineLevel="2" x14ac:dyDescent="0.3">
      <c r="A40" s="27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24"/>
        <v>0</v>
      </c>
      <c r="G40" s="2"/>
      <c r="H40" s="7"/>
      <c r="I40" s="2"/>
      <c r="J40" s="6">
        <f t="shared" si="25"/>
        <v>0</v>
      </c>
      <c r="K40" s="2"/>
      <c r="L40" s="7">
        <f t="shared" si="26"/>
        <v>0</v>
      </c>
      <c r="M40" s="2"/>
      <c r="N40" s="6">
        <f t="shared" si="27"/>
        <v>0</v>
      </c>
      <c r="O40" s="11"/>
      <c r="P40" s="7"/>
      <c r="Q40" s="2"/>
      <c r="R40" s="6">
        <f t="shared" si="28"/>
        <v>0</v>
      </c>
      <c r="S40" s="2"/>
      <c r="T40" s="7">
        <v>160</v>
      </c>
      <c r="U40" s="2"/>
      <c r="V40" s="6">
        <f t="shared" si="29"/>
        <v>0</v>
      </c>
      <c r="W40" s="2"/>
      <c r="X40" s="7">
        <f t="shared" si="30"/>
        <v>-160</v>
      </c>
      <c r="Y40" s="2"/>
      <c r="Z40" s="6">
        <f t="shared" si="31"/>
        <v>-1</v>
      </c>
    </row>
    <row r="41" spans="1:26" s="29" customFormat="1" outlineLevel="1" collapsed="1" x14ac:dyDescent="0.3">
      <c r="A41" s="28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0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48.24</v>
      </c>
      <c r="U41" s="1"/>
      <c r="V41" s="5">
        <f t="shared" si="29"/>
        <v>0</v>
      </c>
      <c r="W41" s="1"/>
      <c r="X41" s="1">
        <f t="shared" si="30"/>
        <v>-48.24</v>
      </c>
      <c r="Y41" s="1"/>
      <c r="Z41" s="5">
        <f t="shared" si="31"/>
        <v>-1</v>
      </c>
    </row>
    <row r="42" spans="1:26" s="24" customFormat="1" hidden="1" outlineLevel="2" x14ac:dyDescent="0.3">
      <c r="A42" s="27"/>
      <c r="B42" s="11" t="str">
        <f>CONCATENATE("          ", "6373", " - ", "MAINTENANCE CONTRACTS")</f>
        <v xml:space="preserve">          6373 - MAINTENANCE CONTRACTS</v>
      </c>
      <c r="C42" s="11"/>
      <c r="D42" s="7"/>
      <c r="E42" s="2"/>
      <c r="F42" s="6">
        <f t="shared" si="24"/>
        <v>0</v>
      </c>
      <c r="G42" s="2"/>
      <c r="H42" s="7"/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0</v>
      </c>
      <c r="Q42" s="2"/>
      <c r="R42" s="6">
        <f t="shared" si="28"/>
        <v>0</v>
      </c>
      <c r="S42" s="2"/>
      <c r="T42" s="7">
        <v>48.24</v>
      </c>
      <c r="U42" s="2"/>
      <c r="V42" s="6">
        <f t="shared" si="29"/>
        <v>0</v>
      </c>
      <c r="W42" s="2"/>
      <c r="X42" s="7">
        <f t="shared" si="30"/>
        <v>-48.24</v>
      </c>
      <c r="Y42" s="2"/>
      <c r="Z42" s="6">
        <f t="shared" si="31"/>
        <v>-1</v>
      </c>
    </row>
    <row r="43" spans="1:26" s="29" customFormat="1" outlineLevel="1" collapsed="1" x14ac:dyDescent="0.3">
      <c r="A43" s="28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0</v>
      </c>
      <c r="U43" s="1"/>
      <c r="V43" s="5">
        <f t="shared" si="29"/>
        <v>0</v>
      </c>
      <c r="W43" s="1"/>
      <c r="X43" s="1">
        <f t="shared" si="30"/>
        <v>0</v>
      </c>
      <c r="Y43" s="1"/>
      <c r="Z43" s="5">
        <f t="shared" si="31"/>
        <v>0</v>
      </c>
    </row>
    <row r="44" spans="1:26" s="24" customFormat="1" hidden="1" outlineLevel="2" x14ac:dyDescent="0.3">
      <c r="A44" s="27"/>
      <c r="B44" s="11" t="str">
        <f>CONCATENATE("          ", "6247", " - ", "STORE SUPPLIES")</f>
        <v xml:space="preserve">          6247 - STORE SUPPLIES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0</v>
      </c>
      <c r="Q44" s="2"/>
      <c r="R44" s="6">
        <f t="shared" si="28"/>
        <v>0</v>
      </c>
      <c r="S44" s="2"/>
      <c r="T44" s="7"/>
      <c r="U44" s="2"/>
      <c r="V44" s="6">
        <f t="shared" si="29"/>
        <v>0</v>
      </c>
      <c r="W44" s="2"/>
      <c r="X44" s="7">
        <f t="shared" si="30"/>
        <v>0</v>
      </c>
      <c r="Y44" s="2"/>
      <c r="Z44" s="6">
        <f t="shared" si="31"/>
        <v>0</v>
      </c>
    </row>
    <row r="45" spans="1:26" s="29" customFormat="1" outlineLevel="1" collapsed="1" x14ac:dyDescent="0.3">
      <c r="A45" s="28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72</v>
      </c>
      <c r="I45" s="1"/>
      <c r="J45" s="5">
        <f t="shared" si="25"/>
        <v>0</v>
      </c>
      <c r="K45" s="1"/>
      <c r="L45" s="1">
        <f t="shared" si="26"/>
        <v>-72</v>
      </c>
      <c r="M45" s="1"/>
      <c r="N45" s="5">
        <f t="shared" si="27"/>
        <v>-1</v>
      </c>
      <c r="O45" s="14"/>
      <c r="P45" s="1">
        <f>SUM(OSRRefP22_7x_0)</f>
        <v>0</v>
      </c>
      <c r="Q45" s="1"/>
      <c r="R45" s="5">
        <f t="shared" si="28"/>
        <v>0</v>
      </c>
      <c r="S45" s="1"/>
      <c r="T45" s="1">
        <f>SUM(OSRRefT22_7x_0)</f>
        <v>852.4</v>
      </c>
      <c r="U45" s="1"/>
      <c r="V45" s="5">
        <f t="shared" si="29"/>
        <v>0</v>
      </c>
      <c r="W45" s="1"/>
      <c r="X45" s="1">
        <f t="shared" si="30"/>
        <v>-852.4</v>
      </c>
      <c r="Y45" s="1"/>
      <c r="Z45" s="5">
        <f t="shared" si="31"/>
        <v>-1</v>
      </c>
    </row>
    <row r="46" spans="1:26" s="24" customFormat="1" hidden="1" outlineLevel="2" x14ac:dyDescent="0.3">
      <c r="A46" s="27"/>
      <c r="B46" s="11" t="str">
        <f>CONCATENATE("          ", "6309", " - ", "TELEPHONE")</f>
        <v xml:space="preserve">          6309 - TELEPHONE</v>
      </c>
      <c r="C46" s="11"/>
      <c r="D46" s="7"/>
      <c r="E46" s="2"/>
      <c r="F46" s="6">
        <f t="shared" si="24"/>
        <v>0</v>
      </c>
      <c r="G46" s="2"/>
      <c r="H46" s="7">
        <v>72</v>
      </c>
      <c r="I46" s="2"/>
      <c r="J46" s="6">
        <f t="shared" si="25"/>
        <v>0</v>
      </c>
      <c r="K46" s="2"/>
      <c r="L46" s="7">
        <f t="shared" si="26"/>
        <v>-72</v>
      </c>
      <c r="M46" s="2"/>
      <c r="N46" s="6">
        <f t="shared" si="27"/>
        <v>-1</v>
      </c>
      <c r="O46" s="11"/>
      <c r="P46" s="7">
        <v>0</v>
      </c>
      <c r="Q46" s="2"/>
      <c r="R46" s="6">
        <f t="shared" si="28"/>
        <v>0</v>
      </c>
      <c r="S46" s="2"/>
      <c r="T46" s="7">
        <v>852.4</v>
      </c>
      <c r="U46" s="2"/>
      <c r="V46" s="6">
        <f t="shared" si="29"/>
        <v>0</v>
      </c>
      <c r="W46" s="2"/>
      <c r="X46" s="7">
        <f t="shared" si="30"/>
        <v>-852.4</v>
      </c>
      <c r="Y46" s="2"/>
      <c r="Z46" s="6">
        <f t="shared" si="31"/>
        <v>-1</v>
      </c>
    </row>
    <row r="47" spans="1:26" s="52" customFormat="1" x14ac:dyDescent="0.3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">
      <c r="A48" s="10"/>
      <c r="B48" s="26" t="s">
        <v>292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5" t="s">
        <v>276</v>
      </c>
      <c r="C50" s="25"/>
      <c r="D50" s="21">
        <f>+D21-D23+D48</f>
        <v>0</v>
      </c>
      <c r="E50" s="13"/>
      <c r="F50" s="22">
        <f>IF(D$12=0,0,D50/D$12)</f>
        <v>0</v>
      </c>
      <c r="G50" s="13"/>
      <c r="H50" s="21">
        <f>+H21-H23+H48</f>
        <v>-80.17</v>
      </c>
      <c r="I50" s="13"/>
      <c r="J50" s="22">
        <f>IF(H$12=0,0,H50/H$12)</f>
        <v>0</v>
      </c>
      <c r="K50" s="15"/>
      <c r="L50" s="21">
        <f>+D50-H50</f>
        <v>80.17</v>
      </c>
      <c r="M50" s="15"/>
      <c r="N50" s="22">
        <f>IF(H50=0,0,L50/H50)</f>
        <v>-1</v>
      </c>
      <c r="O50" s="26"/>
      <c r="P50" s="21">
        <f>+P21-P23+P48</f>
        <v>0</v>
      </c>
      <c r="Q50" s="13"/>
      <c r="R50" s="22">
        <f>IF(P$12=0,0,P50/P$12)</f>
        <v>0</v>
      </c>
      <c r="S50" s="13"/>
      <c r="T50" s="21">
        <f>+T21-T23+T48</f>
        <v>-45728.480000000003</v>
      </c>
      <c r="U50" s="13"/>
      <c r="V50" s="22">
        <f>IF(T$12=0,0,T50/T$12)</f>
        <v>0</v>
      </c>
      <c r="W50" s="15"/>
      <c r="X50" s="21">
        <f>+P50-T50</f>
        <v>45728.480000000003</v>
      </c>
      <c r="Y50" s="15"/>
      <c r="Z50" s="22">
        <f>IF(T50=0,0,X50/T50)</f>
        <v>-1</v>
      </c>
    </row>
    <row r="51" spans="1:26" x14ac:dyDescent="0.3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">
      <c r="A52" s="51"/>
      <c r="B52" s="10" t="s">
        <v>127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5" t="s">
        <v>125</v>
      </c>
      <c r="C54" s="25"/>
      <c r="D54" s="36">
        <f>+D50-D52</f>
        <v>0</v>
      </c>
      <c r="E54" s="13"/>
      <c r="F54" s="31">
        <f>IF(D$12=0,0,D54/D$12)</f>
        <v>0</v>
      </c>
      <c r="G54" s="13"/>
      <c r="H54" s="36">
        <f>+H50-H52</f>
        <v>-80.17</v>
      </c>
      <c r="I54" s="13"/>
      <c r="J54" s="31">
        <f>IF(H$12=0,0,H54/H$12)</f>
        <v>0</v>
      </c>
      <c r="K54" s="15"/>
      <c r="L54" s="36">
        <f>D54-H54</f>
        <v>80.17</v>
      </c>
      <c r="M54" s="15"/>
      <c r="N54" s="31">
        <f>IF(H54=0,0,L54/H54)</f>
        <v>-1</v>
      </c>
      <c r="O54" s="26"/>
      <c r="P54" s="36">
        <f>+P50-P52</f>
        <v>0</v>
      </c>
      <c r="Q54" s="13"/>
      <c r="R54" s="31">
        <f>IF(P$12=0,0,P54/P$12)</f>
        <v>0</v>
      </c>
      <c r="S54" s="13"/>
      <c r="T54" s="36">
        <f>+T50-T52</f>
        <v>-45728.480000000003</v>
      </c>
      <c r="U54" s="13"/>
      <c r="V54" s="31">
        <f>IF(T$12=0,0,T54/T$12)</f>
        <v>0</v>
      </c>
      <c r="W54" s="15"/>
      <c r="X54" s="36">
        <f>P54-T54</f>
        <v>45728.480000000003</v>
      </c>
      <c r="Y54" s="15"/>
      <c r="Z54" s="31">
        <f>IF(T54=0,0,X54/T54)</f>
        <v>-1</v>
      </c>
    </row>
    <row r="55" spans="1:26" ht="15" thickTop="1" x14ac:dyDescent="0.3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3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35">
      <c r="A57" s="10"/>
      <c r="B57" s="25" t="s">
        <v>293</v>
      </c>
      <c r="C57" s="25"/>
      <c r="D57" s="35">
        <f>SUM(D54:D56)</f>
        <v>0</v>
      </c>
      <c r="E57" s="13"/>
      <c r="F57" s="32">
        <f>IF(D$12=0,0,D57/D$12)</f>
        <v>0</v>
      </c>
      <c r="G57" s="13"/>
      <c r="H57" s="35">
        <f>SUM(H54:H56)</f>
        <v>-80.17</v>
      </c>
      <c r="I57" s="13"/>
      <c r="J57" s="32">
        <f>IF(H$12=0,0,H57/H$12)</f>
        <v>0</v>
      </c>
      <c r="K57" s="15"/>
      <c r="L57" s="35">
        <f>+D57-H57</f>
        <v>80.17</v>
      </c>
      <c r="M57" s="15"/>
      <c r="N57" s="32">
        <f>IF(H57=0,0,L57/H57)</f>
        <v>-1</v>
      </c>
      <c r="O57" s="26"/>
      <c r="P57" s="35">
        <f>SUM(P54:P56)</f>
        <v>0</v>
      </c>
      <c r="Q57" s="13"/>
      <c r="R57" s="32">
        <f>IF(P$12=0,0,P57/P$12)</f>
        <v>0</v>
      </c>
      <c r="S57" s="13"/>
      <c r="T57" s="35">
        <f>SUM(T54:T56)</f>
        <v>-45728.480000000003</v>
      </c>
      <c r="U57" s="13"/>
      <c r="V57" s="32">
        <f>IF(T$12=0,0,T57/T$12)</f>
        <v>0</v>
      </c>
      <c r="W57" s="15"/>
      <c r="X57" s="35">
        <f>+P57-T57</f>
        <v>45728.480000000003</v>
      </c>
      <c r="Y57" s="15"/>
      <c r="Z57" s="32">
        <f>IF(T57=0,0,X57/T57)</f>
        <v>-1</v>
      </c>
    </row>
    <row r="58" spans="1:26" ht="15" thickTop="1" x14ac:dyDescent="0.3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A59" s="9"/>
      <c r="B59" s="54">
        <v>44604.028475694446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">
      <c r="A60" s="9"/>
      <c r="B60" s="53" t="s">
        <v>56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">
      <c r="A61" s="9"/>
      <c r="B61" s="5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","321", " - ", "Corner Market")</f>
        <v>Department 321 - Corner Market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2476.4700000000003</v>
      </c>
      <c r="U12" s="4"/>
      <c r="V12" s="12"/>
      <c r="W12" s="4"/>
      <c r="X12" s="4">
        <f t="shared" ref="X12:X14" si="2">+P12-T12</f>
        <v>-2476.4700000000003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6">0</f>
        <v>0</v>
      </c>
      <c r="Q13" s="2"/>
      <c r="R13" s="19"/>
      <c r="S13" s="2"/>
      <c r="T13" s="2">
        <f>--444.59</f>
        <v>444.59</v>
      </c>
      <c r="U13" s="2"/>
      <c r="V13" s="19"/>
      <c r="W13" s="2"/>
      <c r="X13" s="2">
        <f t="shared" si="2"/>
        <v>-444.59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--2031.88</f>
        <v>2031.88</v>
      </c>
      <c r="U14" s="2"/>
      <c r="V14" s="19"/>
      <c r="W14" s="2"/>
      <c r="X14" s="2">
        <f t="shared" si="2"/>
        <v>-2031.88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0</v>
      </c>
      <c r="E16" s="4"/>
      <c r="F16" s="12">
        <f t="shared" ref="F16:F18" si="7">IF(D$12=0,0,D16/D$12)</f>
        <v>0</v>
      </c>
      <c r="G16" s="4"/>
      <c r="H16" s="4">
        <f>SUM(OSRRefH16x_0)</f>
        <v>-257.75</v>
      </c>
      <c r="I16" s="4"/>
      <c r="J16" s="12">
        <f t="shared" ref="J16:J18" si="8">IF(H$12=0,0,H16/H$12)</f>
        <v>0</v>
      </c>
      <c r="K16" s="4"/>
      <c r="L16" s="4">
        <f t="shared" ref="L16:L18" si="9">+D16-H16</f>
        <v>257.75</v>
      </c>
      <c r="M16" s="4"/>
      <c r="N16" s="12">
        <f t="shared" ref="N16:N18" si="10">IF(H16=0,0,L16/H16)</f>
        <v>-1</v>
      </c>
      <c r="O16" s="10"/>
      <c r="P16" s="4">
        <f>SUM(OSRRefP16x_0)</f>
        <v>8639</v>
      </c>
      <c r="Q16" s="4"/>
      <c r="R16" s="12">
        <f t="shared" ref="R16:R18" si="11">IF(P$12=0,0,P16/P$12)</f>
        <v>0</v>
      </c>
      <c r="S16" s="4"/>
      <c r="T16" s="4">
        <f>SUM(OSRRefT16x_0)</f>
        <v>0.73</v>
      </c>
      <c r="U16" s="4"/>
      <c r="V16" s="12">
        <f t="shared" ref="V16:V18" si="12">IF(T$12=0,0,T16/T$12)</f>
        <v>2.9477441681102534E-4</v>
      </c>
      <c r="W16" s="4"/>
      <c r="X16" s="4">
        <f t="shared" ref="X16:X18" si="13">+P16-T16</f>
        <v>8638.27</v>
      </c>
      <c r="Y16" s="4"/>
      <c r="Z16" s="12">
        <f t="shared" ref="Z16:Z18" si="14">IF(T16=0,0,X16/T16)</f>
        <v>11833.246575342466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>
        <v>-257.75</v>
      </c>
      <c r="I17" s="2"/>
      <c r="J17" s="19">
        <f t="shared" si="8"/>
        <v>0</v>
      </c>
      <c r="K17" s="2"/>
      <c r="L17" s="2">
        <f t="shared" si="9"/>
        <v>257.75</v>
      </c>
      <c r="M17" s="2"/>
      <c r="N17" s="19">
        <f t="shared" si="10"/>
        <v>-1</v>
      </c>
      <c r="O17" s="11"/>
      <c r="P17" s="2"/>
      <c r="Q17" s="2"/>
      <c r="R17" s="19">
        <f t="shared" si="11"/>
        <v>0</v>
      </c>
      <c r="S17" s="2"/>
      <c r="T17" s="2">
        <v>0.73</v>
      </c>
      <c r="U17" s="2"/>
      <c r="V17" s="19">
        <f t="shared" si="12"/>
        <v>2.9477441681102534E-4</v>
      </c>
      <c r="W17" s="2"/>
      <c r="X17" s="2">
        <f t="shared" si="13"/>
        <v>-0.73</v>
      </c>
      <c r="Y17" s="2"/>
      <c r="Z17" s="19">
        <f t="shared" si="14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>
        <v>8639</v>
      </c>
      <c r="Q18" s="2"/>
      <c r="R18" s="19">
        <f t="shared" si="11"/>
        <v>0</v>
      </c>
      <c r="S18" s="2"/>
      <c r="T18" s="2"/>
      <c r="U18" s="2"/>
      <c r="V18" s="19">
        <f t="shared" si="12"/>
        <v>0</v>
      </c>
      <c r="W18" s="2"/>
      <c r="X18" s="2">
        <f t="shared" si="13"/>
        <v>8639</v>
      </c>
      <c r="Y18" s="2"/>
      <c r="Z18" s="19">
        <f t="shared" si="14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0</v>
      </c>
      <c r="E20" s="13"/>
      <c r="F20" s="22">
        <f>IF(D$12=0,0,D20/D$12)</f>
        <v>0</v>
      </c>
      <c r="G20" s="13"/>
      <c r="H20" s="21">
        <f>H12-H16</f>
        <v>257.75</v>
      </c>
      <c r="I20" s="13"/>
      <c r="J20" s="22">
        <f>IF(H$12=0,0,H20/H$12)</f>
        <v>0</v>
      </c>
      <c r="K20" s="15"/>
      <c r="L20" s="21">
        <f>+D20-H20</f>
        <v>-257.75</v>
      </c>
      <c r="M20" s="15"/>
      <c r="N20" s="22">
        <f>IF(H20=0,0,L20/H20)</f>
        <v>-1</v>
      </c>
      <c r="O20" s="26"/>
      <c r="P20" s="21">
        <f>P12-P16</f>
        <v>-8639</v>
      </c>
      <c r="Q20" s="13"/>
      <c r="R20" s="22">
        <f>IF(P$12=0,0,P20/P$12)</f>
        <v>0</v>
      </c>
      <c r="S20" s="13"/>
      <c r="T20" s="21">
        <f>T12-T16</f>
        <v>2475.7400000000002</v>
      </c>
      <c r="U20" s="13"/>
      <c r="V20" s="22">
        <f>IF(T$12=0,0,T20/T$12)</f>
        <v>0.99970522558318897</v>
      </c>
      <c r="W20" s="15"/>
      <c r="X20" s="21">
        <f>+P20-T20</f>
        <v>-11114.74</v>
      </c>
      <c r="Y20" s="15"/>
      <c r="Z20" s="22">
        <f>IF(T20=0,0,X20/T20)</f>
        <v>-4.4894617366928671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7377.6</v>
      </c>
      <c r="E22" s="20"/>
      <c r="F22" s="30">
        <f t="shared" ref="F22:F32" si="15">IF(D$12=0,0,D22/D$12)</f>
        <v>0</v>
      </c>
      <c r="G22" s="20"/>
      <c r="H22" s="20">
        <f>SUM(OSRRefH22x_0)</f>
        <v>979.82999999999993</v>
      </c>
      <c r="I22" s="20"/>
      <c r="J22" s="30">
        <f t="shared" ref="J22:J32" si="16">IF(H$12=0,0,H22/H$12)</f>
        <v>0</v>
      </c>
      <c r="K22" s="4"/>
      <c r="L22" s="20">
        <f t="shared" ref="L22:L32" si="17">+D22-H22</f>
        <v>6397.77</v>
      </c>
      <c r="M22" s="4"/>
      <c r="N22" s="30">
        <f t="shared" ref="N22:N32" si="18">IF(H22=0,0,L22/H22)</f>
        <v>6.5294693977526723</v>
      </c>
      <c r="O22" s="10"/>
      <c r="P22" s="20">
        <f>SUM(OSRRefP22x_0)</f>
        <v>19969.330000000002</v>
      </c>
      <c r="Q22" s="20"/>
      <c r="R22" s="30">
        <f t="shared" ref="R22:R32" si="19">IF(P$12=0,0,P22/P$12)</f>
        <v>0</v>
      </c>
      <c r="S22" s="20"/>
      <c r="T22" s="20">
        <f>SUM(OSRRefT22x_0)</f>
        <v>36157.619999999988</v>
      </c>
      <c r="U22" s="20"/>
      <c r="V22" s="30">
        <f t="shared" ref="V22:V32" si="20">IF(T$12=0,0,T22/T$12)</f>
        <v>14.600467601061181</v>
      </c>
      <c r="W22" s="4"/>
      <c r="X22" s="20">
        <f t="shared" ref="X22:X32" si="21">+P22-T22</f>
        <v>-16188.289999999986</v>
      </c>
      <c r="Y22" s="4"/>
      <c r="Z22" s="30">
        <f t="shared" ref="Z22:Z32" si="22">IF(T22=0,0,X22/T22)</f>
        <v>-0.44771447899502209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2447.38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2447.38</v>
      </c>
      <c r="M23" s="1"/>
      <c r="N23" s="5">
        <f t="shared" si="18"/>
        <v>0</v>
      </c>
      <c r="O23" s="14"/>
      <c r="P23" s="1">
        <f>SUM(OSRRefP22_0x_0)</f>
        <v>3634.2799999999997</v>
      </c>
      <c r="Q23" s="1"/>
      <c r="R23" s="5">
        <f t="shared" si="19"/>
        <v>0</v>
      </c>
      <c r="S23" s="1"/>
      <c r="T23" s="1">
        <f>SUM(OSRRefT22_0x_0)</f>
        <v>8751.99</v>
      </c>
      <c r="U23" s="1"/>
      <c r="V23" s="5">
        <f t="shared" si="20"/>
        <v>3.5340585591588023</v>
      </c>
      <c r="W23" s="1"/>
      <c r="X23" s="1">
        <f t="shared" si="21"/>
        <v>-5117.71</v>
      </c>
      <c r="Y23" s="1"/>
      <c r="Z23" s="5">
        <f t="shared" si="22"/>
        <v>-0.58474815441973771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323.83</v>
      </c>
      <c r="E24" s="2"/>
      <c r="F24" s="6">
        <f t="shared" si="15"/>
        <v>0</v>
      </c>
      <c r="G24" s="2"/>
      <c r="H24" s="7"/>
      <c r="I24" s="2"/>
      <c r="J24" s="6">
        <f t="shared" si="16"/>
        <v>0</v>
      </c>
      <c r="K24" s="2"/>
      <c r="L24" s="7">
        <f t="shared" si="17"/>
        <v>323.83</v>
      </c>
      <c r="M24" s="2"/>
      <c r="N24" s="6">
        <f t="shared" si="18"/>
        <v>0</v>
      </c>
      <c r="O24" s="11"/>
      <c r="P24" s="7">
        <v>601.97</v>
      </c>
      <c r="Q24" s="2"/>
      <c r="R24" s="6">
        <f t="shared" si="19"/>
        <v>0</v>
      </c>
      <c r="S24" s="2"/>
      <c r="T24" s="7">
        <v>1667.09</v>
      </c>
      <c r="U24" s="2"/>
      <c r="V24" s="6">
        <f t="shared" si="20"/>
        <v>0.67317189386505782</v>
      </c>
      <c r="W24" s="2"/>
      <c r="X24" s="7">
        <f t="shared" si="21"/>
        <v>-1065.1199999999999</v>
      </c>
      <c r="Y24" s="2"/>
      <c r="Z24" s="6">
        <f t="shared" si="22"/>
        <v>-0.63890971693189924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62.65</v>
      </c>
      <c r="E25" s="2"/>
      <c r="F25" s="6">
        <f t="shared" si="15"/>
        <v>0</v>
      </c>
      <c r="G25" s="2"/>
      <c r="H25" s="7"/>
      <c r="I25" s="2"/>
      <c r="J25" s="6">
        <f t="shared" si="16"/>
        <v>0</v>
      </c>
      <c r="K25" s="2"/>
      <c r="L25" s="7">
        <f t="shared" si="17"/>
        <v>62.65</v>
      </c>
      <c r="M25" s="2"/>
      <c r="N25" s="6">
        <f t="shared" si="18"/>
        <v>0</v>
      </c>
      <c r="O25" s="11"/>
      <c r="P25" s="7">
        <v>124.92</v>
      </c>
      <c r="Q25" s="2"/>
      <c r="R25" s="6">
        <f t="shared" si="19"/>
        <v>0</v>
      </c>
      <c r="S25" s="2"/>
      <c r="T25" s="7">
        <v>331.61</v>
      </c>
      <c r="U25" s="2"/>
      <c r="V25" s="6">
        <f t="shared" si="20"/>
        <v>0.13390430734069056</v>
      </c>
      <c r="W25" s="2"/>
      <c r="X25" s="7">
        <f t="shared" si="21"/>
        <v>-206.69</v>
      </c>
      <c r="Y25" s="2"/>
      <c r="Z25" s="6">
        <f t="shared" si="22"/>
        <v>-0.62329242182081357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1284.4100000000001</v>
      </c>
      <c r="E26" s="2"/>
      <c r="F26" s="6">
        <f t="shared" si="15"/>
        <v>0</v>
      </c>
      <c r="G26" s="2"/>
      <c r="H26" s="7"/>
      <c r="I26" s="2"/>
      <c r="J26" s="6">
        <f t="shared" si="16"/>
        <v>0</v>
      </c>
      <c r="K26" s="2"/>
      <c r="L26" s="7">
        <f t="shared" si="17"/>
        <v>1284.4100000000001</v>
      </c>
      <c r="M26" s="2"/>
      <c r="N26" s="6">
        <f t="shared" si="18"/>
        <v>0</v>
      </c>
      <c r="O26" s="11"/>
      <c r="P26" s="7">
        <v>1318.22</v>
      </c>
      <c r="Q26" s="2"/>
      <c r="R26" s="6">
        <f t="shared" si="19"/>
        <v>0</v>
      </c>
      <c r="S26" s="2"/>
      <c r="T26" s="7">
        <v>3385.22</v>
      </c>
      <c r="U26" s="2"/>
      <c r="V26" s="6">
        <f t="shared" si="20"/>
        <v>1.366953768872629</v>
      </c>
      <c r="W26" s="2"/>
      <c r="X26" s="7">
        <f t="shared" si="21"/>
        <v>-2067</v>
      </c>
      <c r="Y26" s="2"/>
      <c r="Z26" s="6">
        <f t="shared" si="22"/>
        <v>-0.61059547089997113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11.01</v>
      </c>
      <c r="E27" s="2"/>
      <c r="F27" s="6">
        <f t="shared" si="15"/>
        <v>0</v>
      </c>
      <c r="G27" s="2"/>
      <c r="H27" s="7"/>
      <c r="I27" s="2"/>
      <c r="J27" s="6">
        <f t="shared" si="16"/>
        <v>0</v>
      </c>
      <c r="K27" s="2"/>
      <c r="L27" s="7">
        <f t="shared" si="17"/>
        <v>11.01</v>
      </c>
      <c r="M27" s="2"/>
      <c r="N27" s="6">
        <f t="shared" si="18"/>
        <v>0</v>
      </c>
      <c r="O27" s="11"/>
      <c r="P27" s="7">
        <v>20.21</v>
      </c>
      <c r="Q27" s="2"/>
      <c r="R27" s="6">
        <f t="shared" si="19"/>
        <v>0</v>
      </c>
      <c r="S27" s="2"/>
      <c r="T27" s="7">
        <v>62.01</v>
      </c>
      <c r="U27" s="2"/>
      <c r="V27" s="6">
        <f t="shared" si="20"/>
        <v>2.5039673406098192E-2</v>
      </c>
      <c r="W27" s="2"/>
      <c r="X27" s="7">
        <f t="shared" si="21"/>
        <v>-41.8</v>
      </c>
      <c r="Y27" s="2"/>
      <c r="Z27" s="6">
        <f t="shared" si="22"/>
        <v>-0.6740848250282212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5"/>
        <v>0</v>
      </c>
      <c r="G28" s="2"/>
      <c r="H28" s="7"/>
      <c r="I28" s="2"/>
      <c r="J28" s="6">
        <f t="shared" si="16"/>
        <v>0</v>
      </c>
      <c r="K28" s="2"/>
      <c r="L28" s="7">
        <f t="shared" si="17"/>
        <v>0</v>
      </c>
      <c r="M28" s="2"/>
      <c r="N28" s="6">
        <f t="shared" si="18"/>
        <v>0</v>
      </c>
      <c r="O28" s="11"/>
      <c r="P28" s="7"/>
      <c r="Q28" s="2"/>
      <c r="R28" s="6">
        <f t="shared" si="19"/>
        <v>0</v>
      </c>
      <c r="S28" s="2"/>
      <c r="T28" s="7">
        <v>1254.1099999999999</v>
      </c>
      <c r="U28" s="2"/>
      <c r="V28" s="6">
        <f t="shared" si="20"/>
        <v>0.50641033406421232</v>
      </c>
      <c r="W28" s="2"/>
      <c r="X28" s="7">
        <f t="shared" si="21"/>
        <v>-1254.1099999999999</v>
      </c>
      <c r="Y28" s="2"/>
      <c r="Z28" s="6">
        <f t="shared" si="22"/>
        <v>-1</v>
      </c>
    </row>
    <row r="29" spans="1:26" s="24" customFormat="1" hidden="1" outlineLevel="2" x14ac:dyDescent="0.3">
      <c r="A29" s="27"/>
      <c r="B29" s="11" t="str">
        <f>CONCATENATE("          ", "6117", " - ", "RETIREMENT STAFF HOURLY")</f>
        <v xml:space="preserve">          6117 - RETIREMENT STAFF HOURLY</v>
      </c>
      <c r="C29" s="11"/>
      <c r="D29" s="7">
        <v>211.66</v>
      </c>
      <c r="E29" s="2"/>
      <c r="F29" s="6">
        <f t="shared" si="15"/>
        <v>0</v>
      </c>
      <c r="G29" s="2"/>
      <c r="H29" s="7"/>
      <c r="I29" s="2"/>
      <c r="J29" s="6">
        <f t="shared" si="16"/>
        <v>0</v>
      </c>
      <c r="K29" s="2"/>
      <c r="L29" s="7">
        <f t="shared" si="17"/>
        <v>211.66</v>
      </c>
      <c r="M29" s="2"/>
      <c r="N29" s="6">
        <f t="shared" si="18"/>
        <v>0</v>
      </c>
      <c r="O29" s="11"/>
      <c r="P29" s="7">
        <v>211.66</v>
      </c>
      <c r="Q29" s="2"/>
      <c r="R29" s="6">
        <f t="shared" si="19"/>
        <v>0</v>
      </c>
      <c r="S29" s="2"/>
      <c r="T29" s="7"/>
      <c r="U29" s="2"/>
      <c r="V29" s="6">
        <f t="shared" si="20"/>
        <v>0</v>
      </c>
      <c r="W29" s="2"/>
      <c r="X29" s="7">
        <f t="shared" si="21"/>
        <v>211.66</v>
      </c>
      <c r="Y29" s="2"/>
      <c r="Z29" s="6">
        <f t="shared" si="22"/>
        <v>0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>
        <v>163.24</v>
      </c>
      <c r="E30" s="2"/>
      <c r="F30" s="6">
        <f t="shared" si="15"/>
        <v>0</v>
      </c>
      <c r="G30" s="2"/>
      <c r="H30" s="7"/>
      <c r="I30" s="2"/>
      <c r="J30" s="6">
        <f t="shared" si="16"/>
        <v>0</v>
      </c>
      <c r="K30" s="2"/>
      <c r="L30" s="7">
        <f t="shared" si="17"/>
        <v>163.24</v>
      </c>
      <c r="M30" s="2"/>
      <c r="N30" s="6">
        <f t="shared" si="18"/>
        <v>0</v>
      </c>
      <c r="O30" s="11"/>
      <c r="P30" s="7">
        <v>408.1</v>
      </c>
      <c r="Q30" s="2"/>
      <c r="R30" s="6">
        <f t="shared" si="19"/>
        <v>0</v>
      </c>
      <c r="S30" s="2"/>
      <c r="T30" s="7">
        <v>958.88</v>
      </c>
      <c r="U30" s="2"/>
      <c r="V30" s="6">
        <f t="shared" si="20"/>
        <v>0.38719629149555612</v>
      </c>
      <c r="W30" s="2"/>
      <c r="X30" s="7">
        <f t="shared" si="21"/>
        <v>-550.78</v>
      </c>
      <c r="Y30" s="2"/>
      <c r="Z30" s="6">
        <f t="shared" si="22"/>
        <v>-0.57439929918237942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>
        <v>195.58</v>
      </c>
      <c r="E31" s="2"/>
      <c r="F31" s="6">
        <f t="shared" si="15"/>
        <v>0</v>
      </c>
      <c r="G31" s="2"/>
      <c r="H31" s="7"/>
      <c r="I31" s="2"/>
      <c r="J31" s="6">
        <f t="shared" si="16"/>
        <v>0</v>
      </c>
      <c r="K31" s="2"/>
      <c r="L31" s="7">
        <f t="shared" si="17"/>
        <v>195.58</v>
      </c>
      <c r="M31" s="2"/>
      <c r="N31" s="6">
        <f t="shared" si="18"/>
        <v>0</v>
      </c>
      <c r="O31" s="11"/>
      <c r="P31" s="7">
        <v>488.95</v>
      </c>
      <c r="Q31" s="2"/>
      <c r="R31" s="6">
        <f t="shared" si="19"/>
        <v>0</v>
      </c>
      <c r="S31" s="2"/>
      <c r="T31" s="7">
        <v>767.52</v>
      </c>
      <c r="U31" s="2"/>
      <c r="V31" s="6">
        <f t="shared" si="20"/>
        <v>0.30992501423397006</v>
      </c>
      <c r="W31" s="2"/>
      <c r="X31" s="7">
        <f t="shared" si="21"/>
        <v>-278.57</v>
      </c>
      <c r="Y31" s="2"/>
      <c r="Z31" s="6">
        <f t="shared" si="22"/>
        <v>-0.36294819678966023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>
        <v>195</v>
      </c>
      <c r="E32" s="2"/>
      <c r="F32" s="6">
        <f t="shared" si="15"/>
        <v>0</v>
      </c>
      <c r="G32" s="2"/>
      <c r="H32" s="7"/>
      <c r="I32" s="2"/>
      <c r="J32" s="6">
        <f t="shared" si="16"/>
        <v>0</v>
      </c>
      <c r="K32" s="2"/>
      <c r="L32" s="7">
        <f t="shared" si="17"/>
        <v>195</v>
      </c>
      <c r="M32" s="2"/>
      <c r="N32" s="6">
        <f t="shared" si="18"/>
        <v>0</v>
      </c>
      <c r="O32" s="11"/>
      <c r="P32" s="7">
        <v>460.25</v>
      </c>
      <c r="Q32" s="2"/>
      <c r="R32" s="6">
        <f t="shared" si="19"/>
        <v>0</v>
      </c>
      <c r="S32" s="2"/>
      <c r="T32" s="7">
        <v>325.55</v>
      </c>
      <c r="U32" s="2"/>
      <c r="V32" s="6">
        <f t="shared" si="20"/>
        <v>0.13145727588058809</v>
      </c>
      <c r="W32" s="2"/>
      <c r="X32" s="7">
        <f t="shared" si="21"/>
        <v>134.69999999999999</v>
      </c>
      <c r="Y32" s="2"/>
      <c r="Z32" s="6">
        <f t="shared" si="22"/>
        <v>0.4137613269851021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5089.12</v>
      </c>
      <c r="E33" s="1"/>
      <c r="F33" s="5">
        <f t="shared" ref="F33:F37" si="23">IF(D$12=0,0,D33/D$12)</f>
        <v>0</v>
      </c>
      <c r="G33" s="1"/>
      <c r="H33" s="1">
        <f>SUM(OSRRefH22_1x_0)</f>
        <v>0</v>
      </c>
      <c r="I33" s="1"/>
      <c r="J33" s="5">
        <f t="shared" ref="J33:J37" si="24">IF(H$12=0,0,H33/H$12)</f>
        <v>0</v>
      </c>
      <c r="K33" s="1"/>
      <c r="L33" s="1">
        <f t="shared" ref="L33:L37" si="25">+D33-H33</f>
        <v>5089.12</v>
      </c>
      <c r="M33" s="1"/>
      <c r="N33" s="5">
        <f t="shared" ref="N33:N37" si="26">IF(H33=0,0,L33/H33)</f>
        <v>0</v>
      </c>
      <c r="O33" s="14"/>
      <c r="P33" s="1">
        <f>SUM(OSRRefP22_1x_0)</f>
        <v>8718.23</v>
      </c>
      <c r="Q33" s="1"/>
      <c r="R33" s="5">
        <f t="shared" ref="R33:R37" si="27">IF(P$12=0,0,P33/P$12)</f>
        <v>0</v>
      </c>
      <c r="S33" s="1"/>
      <c r="T33" s="1">
        <f>SUM(OSRRefT22_1x_0)</f>
        <v>15859.96</v>
      </c>
      <c r="U33" s="1"/>
      <c r="V33" s="5">
        <f t="shared" ref="V33:V37" si="28">IF(T$12=0,0,T33/T$12)</f>
        <v>6.404260903624917</v>
      </c>
      <c r="W33" s="1"/>
      <c r="X33" s="1">
        <f t="shared" ref="X33:X37" si="29">+P33-T33</f>
        <v>-7141.73</v>
      </c>
      <c r="Y33" s="1"/>
      <c r="Z33" s="5">
        <f t="shared" ref="Z33:Z37" si="30">IF(T33=0,0,X33/T33)</f>
        <v>-0.45029937023800815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3"/>
        <v>0</v>
      </c>
      <c r="G34" s="2"/>
      <c r="H34" s="7"/>
      <c r="I34" s="2"/>
      <c r="J34" s="6">
        <f t="shared" si="24"/>
        <v>0</v>
      </c>
      <c r="K34" s="2"/>
      <c r="L34" s="7">
        <f t="shared" si="25"/>
        <v>0</v>
      </c>
      <c r="M34" s="2"/>
      <c r="N34" s="6">
        <f t="shared" si="26"/>
        <v>0</v>
      </c>
      <c r="O34" s="11"/>
      <c r="P34" s="7"/>
      <c r="Q34" s="2"/>
      <c r="R34" s="6">
        <f t="shared" si="27"/>
        <v>0</v>
      </c>
      <c r="S34" s="2"/>
      <c r="T34" s="7">
        <v>13728</v>
      </c>
      <c r="U34" s="2"/>
      <c r="V34" s="6">
        <f t="shared" si="28"/>
        <v>5.5433742383311726</v>
      </c>
      <c r="W34" s="2"/>
      <c r="X34" s="7">
        <f t="shared" si="29"/>
        <v>-13728</v>
      </c>
      <c r="Y34" s="2"/>
      <c r="Z34" s="6">
        <f t="shared" si="30"/>
        <v>-1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4021.12</v>
      </c>
      <c r="E35" s="2"/>
      <c r="F35" s="6">
        <f t="shared" si="23"/>
        <v>0</v>
      </c>
      <c r="G35" s="2"/>
      <c r="H35" s="7"/>
      <c r="I35" s="2"/>
      <c r="J35" s="6">
        <f t="shared" si="24"/>
        <v>0</v>
      </c>
      <c r="K35" s="2"/>
      <c r="L35" s="7">
        <f t="shared" si="25"/>
        <v>4021.12</v>
      </c>
      <c r="M35" s="2"/>
      <c r="N35" s="6">
        <f t="shared" si="26"/>
        <v>0</v>
      </c>
      <c r="O35" s="11"/>
      <c r="P35" s="7">
        <v>7559.93</v>
      </c>
      <c r="Q35" s="2"/>
      <c r="R35" s="6">
        <f t="shared" si="27"/>
        <v>0</v>
      </c>
      <c r="S35" s="2"/>
      <c r="T35" s="7"/>
      <c r="U35" s="2"/>
      <c r="V35" s="6">
        <f t="shared" si="28"/>
        <v>0</v>
      </c>
      <c r="W35" s="2"/>
      <c r="X35" s="7">
        <f t="shared" si="29"/>
        <v>7559.93</v>
      </c>
      <c r="Y35" s="2"/>
      <c r="Z35" s="6">
        <f t="shared" si="30"/>
        <v>0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3"/>
        <v>0</v>
      </c>
      <c r="G36" s="2"/>
      <c r="H36" s="7"/>
      <c r="I36" s="2"/>
      <c r="J36" s="6">
        <f t="shared" si="24"/>
        <v>0</v>
      </c>
      <c r="K36" s="2"/>
      <c r="L36" s="7">
        <f t="shared" si="25"/>
        <v>0</v>
      </c>
      <c r="M36" s="2"/>
      <c r="N36" s="6">
        <f t="shared" si="26"/>
        <v>0</v>
      </c>
      <c r="O36" s="11"/>
      <c r="P36" s="7">
        <v>90.3</v>
      </c>
      <c r="Q36" s="2"/>
      <c r="R36" s="6">
        <f t="shared" si="27"/>
        <v>0</v>
      </c>
      <c r="S36" s="2"/>
      <c r="T36" s="7">
        <v>2131.96</v>
      </c>
      <c r="U36" s="2"/>
      <c r="V36" s="6">
        <f t="shared" si="28"/>
        <v>0.86088666529374469</v>
      </c>
      <c r="W36" s="2"/>
      <c r="X36" s="7">
        <f t="shared" si="29"/>
        <v>-2041.66</v>
      </c>
      <c r="Y36" s="2"/>
      <c r="Z36" s="6">
        <f t="shared" si="30"/>
        <v>-0.95764460871686152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7">
        <v>1068</v>
      </c>
      <c r="E37" s="2"/>
      <c r="F37" s="6">
        <f t="shared" si="23"/>
        <v>0</v>
      </c>
      <c r="G37" s="2"/>
      <c r="H37" s="7"/>
      <c r="I37" s="2"/>
      <c r="J37" s="6">
        <f t="shared" si="24"/>
        <v>0</v>
      </c>
      <c r="K37" s="2"/>
      <c r="L37" s="7">
        <f t="shared" si="25"/>
        <v>1068</v>
      </c>
      <c r="M37" s="2"/>
      <c r="N37" s="6">
        <f t="shared" si="26"/>
        <v>0</v>
      </c>
      <c r="O37" s="11"/>
      <c r="P37" s="7">
        <v>1068</v>
      </c>
      <c r="Q37" s="2"/>
      <c r="R37" s="6">
        <f t="shared" si="27"/>
        <v>0</v>
      </c>
      <c r="S37" s="2"/>
      <c r="T37" s="7">
        <v>0</v>
      </c>
      <c r="U37" s="2"/>
      <c r="V37" s="6">
        <f t="shared" si="28"/>
        <v>0</v>
      </c>
      <c r="W37" s="2"/>
      <c r="X37" s="7">
        <f t="shared" si="29"/>
        <v>1068</v>
      </c>
      <c r="Y37" s="2"/>
      <c r="Z37" s="6">
        <f t="shared" si="30"/>
        <v>0</v>
      </c>
    </row>
    <row r="38" spans="1:26" s="29" customFormat="1" outlineLevel="1" collapsed="1" x14ac:dyDescent="0.3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SUM(OSRRefD22_2x_0)</f>
        <v>0</v>
      </c>
      <c r="E38" s="1"/>
      <c r="F38" s="5">
        <f t="shared" ref="F38:F48" si="31">IF(D$12=0,0,D38/D$12)</f>
        <v>0</v>
      </c>
      <c r="G38" s="1"/>
      <c r="H38" s="1">
        <f>SUM(OSRRefH22_2x_0)</f>
        <v>0</v>
      </c>
      <c r="I38" s="1"/>
      <c r="J38" s="5">
        <f t="shared" ref="J38:J48" si="32">IF(H$12=0,0,H38/H$12)</f>
        <v>0</v>
      </c>
      <c r="K38" s="1"/>
      <c r="L38" s="1">
        <f t="shared" ref="L38:L48" si="33">+D38-H38</f>
        <v>0</v>
      </c>
      <c r="M38" s="1"/>
      <c r="N38" s="5">
        <f t="shared" ref="N38:N48" si="34">IF(H38=0,0,L38/H38)</f>
        <v>0</v>
      </c>
      <c r="O38" s="14"/>
      <c r="P38" s="1">
        <f>SUM(OSRRefP22_2x_0)</f>
        <v>0</v>
      </c>
      <c r="Q38" s="1"/>
      <c r="R38" s="5">
        <f t="shared" ref="R38:R48" si="35">IF(P$12=0,0,P38/P$12)</f>
        <v>0</v>
      </c>
      <c r="S38" s="1"/>
      <c r="T38" s="1">
        <f>SUM(OSRRefT22_2x_0)</f>
        <v>3.31</v>
      </c>
      <c r="U38" s="1"/>
      <c r="V38" s="5">
        <f t="shared" ref="V38:V48" si="36">IF(T$12=0,0,T38/T$12)</f>
        <v>1.3365798899239642E-3</v>
      </c>
      <c r="W38" s="1"/>
      <c r="X38" s="1">
        <f t="shared" ref="X38:X48" si="37">+P38-T38</f>
        <v>-3.31</v>
      </c>
      <c r="Y38" s="1"/>
      <c r="Z38" s="5">
        <f t="shared" ref="Z38:Z48" si="38">IF(T38=0,0,X38/T38)</f>
        <v>-1</v>
      </c>
    </row>
    <row r="39" spans="1:26" s="24" customFormat="1" hidden="1" outlineLevel="2" x14ac:dyDescent="0.3">
      <c r="A39" s="27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31"/>
        <v>0</v>
      </c>
      <c r="G39" s="2"/>
      <c r="H39" s="7"/>
      <c r="I39" s="2"/>
      <c r="J39" s="6">
        <f t="shared" si="32"/>
        <v>0</v>
      </c>
      <c r="K39" s="2"/>
      <c r="L39" s="7">
        <f t="shared" si="33"/>
        <v>0</v>
      </c>
      <c r="M39" s="2"/>
      <c r="N39" s="6">
        <f t="shared" si="34"/>
        <v>0</v>
      </c>
      <c r="O39" s="11"/>
      <c r="P39" s="7"/>
      <c r="Q39" s="2"/>
      <c r="R39" s="6">
        <f t="shared" si="35"/>
        <v>0</v>
      </c>
      <c r="S39" s="2"/>
      <c r="T39" s="7">
        <v>3.31</v>
      </c>
      <c r="U39" s="2"/>
      <c r="V39" s="6">
        <f t="shared" si="36"/>
        <v>1.3365798899239642E-3</v>
      </c>
      <c r="W39" s="2"/>
      <c r="X39" s="7">
        <f t="shared" si="37"/>
        <v>-3.31</v>
      </c>
      <c r="Y39" s="2"/>
      <c r="Z39" s="6">
        <f t="shared" si="38"/>
        <v>-1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25</v>
      </c>
      <c r="E40" s="1"/>
      <c r="F40" s="5">
        <f t="shared" si="31"/>
        <v>0</v>
      </c>
      <c r="G40" s="1"/>
      <c r="H40" s="1">
        <f>SUM(OSRRefH22_3x_0)</f>
        <v>224.95</v>
      </c>
      <c r="I40" s="1"/>
      <c r="J40" s="5">
        <f t="shared" si="32"/>
        <v>0</v>
      </c>
      <c r="K40" s="1"/>
      <c r="L40" s="1">
        <f t="shared" si="33"/>
        <v>-199.95</v>
      </c>
      <c r="M40" s="1"/>
      <c r="N40" s="5">
        <f t="shared" si="34"/>
        <v>-0.88886419204267619</v>
      </c>
      <c r="O40" s="14"/>
      <c r="P40" s="1">
        <f>SUM(OSRRefP22_3x_0)</f>
        <v>450.36</v>
      </c>
      <c r="Q40" s="1"/>
      <c r="R40" s="5">
        <f t="shared" si="35"/>
        <v>0</v>
      </c>
      <c r="S40" s="1"/>
      <c r="T40" s="1">
        <f>SUM(OSRRefT22_3x_0)</f>
        <v>898.28</v>
      </c>
      <c r="U40" s="1"/>
      <c r="V40" s="5">
        <f t="shared" si="36"/>
        <v>0.36272597689453129</v>
      </c>
      <c r="W40" s="1"/>
      <c r="X40" s="1">
        <f t="shared" si="37"/>
        <v>-447.91999999999996</v>
      </c>
      <c r="Y40" s="1"/>
      <c r="Z40" s="5">
        <f t="shared" si="38"/>
        <v>-0.49864184886672303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25</v>
      </c>
      <c r="E41" s="2"/>
      <c r="F41" s="6">
        <f t="shared" si="31"/>
        <v>0</v>
      </c>
      <c r="G41" s="2"/>
      <c r="H41" s="7">
        <v>224.95</v>
      </c>
      <c r="I41" s="2"/>
      <c r="J41" s="6">
        <f t="shared" si="32"/>
        <v>0</v>
      </c>
      <c r="K41" s="2"/>
      <c r="L41" s="7">
        <f t="shared" si="33"/>
        <v>-199.95</v>
      </c>
      <c r="M41" s="2"/>
      <c r="N41" s="6">
        <f t="shared" si="34"/>
        <v>-0.88886419204267619</v>
      </c>
      <c r="O41" s="11"/>
      <c r="P41" s="7">
        <v>450.36</v>
      </c>
      <c r="Q41" s="2"/>
      <c r="R41" s="6">
        <f t="shared" si="35"/>
        <v>0</v>
      </c>
      <c r="S41" s="2"/>
      <c r="T41" s="7">
        <v>898.28</v>
      </c>
      <c r="U41" s="2"/>
      <c r="V41" s="6">
        <f t="shared" si="36"/>
        <v>0.36272597689453129</v>
      </c>
      <c r="W41" s="2"/>
      <c r="X41" s="7">
        <f t="shared" si="37"/>
        <v>-447.91999999999996</v>
      </c>
      <c r="Y41" s="2"/>
      <c r="Z41" s="6">
        <f t="shared" si="38"/>
        <v>-0.49864184886672303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264.60000000000002</v>
      </c>
      <c r="E42" s="1"/>
      <c r="F42" s="5">
        <f t="shared" si="31"/>
        <v>0</v>
      </c>
      <c r="G42" s="1"/>
      <c r="H42" s="1">
        <f>SUM(OSRRefH22_4x_0)</f>
        <v>1075.3699999999999</v>
      </c>
      <c r="I42" s="1"/>
      <c r="J42" s="5">
        <f t="shared" si="32"/>
        <v>0</v>
      </c>
      <c r="K42" s="1"/>
      <c r="L42" s="1">
        <f t="shared" si="33"/>
        <v>-810.76999999999987</v>
      </c>
      <c r="M42" s="1"/>
      <c r="N42" s="5">
        <f t="shared" si="34"/>
        <v>-0.753945153761031</v>
      </c>
      <c r="O42" s="14"/>
      <c r="P42" s="1">
        <f>SUM(OSRRefP22_4x_0)</f>
        <v>4284.5600000000004</v>
      </c>
      <c r="Q42" s="1"/>
      <c r="R42" s="5">
        <f t="shared" si="35"/>
        <v>0</v>
      </c>
      <c r="S42" s="1"/>
      <c r="T42" s="1">
        <f>SUM(OSRRefT22_4x_0)</f>
        <v>7527.59</v>
      </c>
      <c r="U42" s="1"/>
      <c r="V42" s="5">
        <f t="shared" si="36"/>
        <v>3.0396451400582278</v>
      </c>
      <c r="W42" s="1"/>
      <c r="X42" s="1">
        <f t="shared" si="37"/>
        <v>-3243.0299999999997</v>
      </c>
      <c r="Y42" s="1"/>
      <c r="Z42" s="5">
        <f t="shared" si="38"/>
        <v>-0.43081915991705177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264.60000000000002</v>
      </c>
      <c r="E43" s="2"/>
      <c r="F43" s="6">
        <f t="shared" si="31"/>
        <v>0</v>
      </c>
      <c r="G43" s="2"/>
      <c r="H43" s="7">
        <v>1075.3699999999999</v>
      </c>
      <c r="I43" s="2"/>
      <c r="J43" s="6">
        <f t="shared" si="32"/>
        <v>0</v>
      </c>
      <c r="K43" s="2"/>
      <c r="L43" s="7">
        <f t="shared" si="33"/>
        <v>-810.76999999999987</v>
      </c>
      <c r="M43" s="2"/>
      <c r="N43" s="6">
        <f t="shared" si="34"/>
        <v>-0.753945153761031</v>
      </c>
      <c r="O43" s="11"/>
      <c r="P43" s="7">
        <v>4284.5600000000004</v>
      </c>
      <c r="Q43" s="2"/>
      <c r="R43" s="6">
        <f t="shared" si="35"/>
        <v>0</v>
      </c>
      <c r="S43" s="2"/>
      <c r="T43" s="7">
        <v>7527.59</v>
      </c>
      <c r="U43" s="2"/>
      <c r="V43" s="6">
        <f t="shared" si="36"/>
        <v>3.0396451400582278</v>
      </c>
      <c r="W43" s="2"/>
      <c r="X43" s="7">
        <f t="shared" si="37"/>
        <v>-3243.0299999999997</v>
      </c>
      <c r="Y43" s="2"/>
      <c r="Z43" s="6">
        <f t="shared" si="38"/>
        <v>-0.43081915991705177</v>
      </c>
    </row>
    <row r="44" spans="1:26" s="29" customFormat="1" outlineLevel="1" collapsed="1" x14ac:dyDescent="0.3">
      <c r="A44" s="28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SUM(OSRRefD22_5x_0)</f>
        <v>0</v>
      </c>
      <c r="E44" s="1"/>
      <c r="F44" s="5">
        <f t="shared" si="31"/>
        <v>0</v>
      </c>
      <c r="G44" s="1"/>
      <c r="H44" s="1">
        <f>SUM(OSRRefH22_5x_0)</f>
        <v>-421.99</v>
      </c>
      <c r="I44" s="1"/>
      <c r="J44" s="5">
        <f t="shared" si="32"/>
        <v>0</v>
      </c>
      <c r="K44" s="1"/>
      <c r="L44" s="1">
        <f t="shared" si="33"/>
        <v>421.99</v>
      </c>
      <c r="M44" s="1"/>
      <c r="N44" s="5">
        <f t="shared" si="34"/>
        <v>-1</v>
      </c>
      <c r="O44" s="14"/>
      <c r="P44" s="1">
        <f>SUM(OSRRefP22_5x_0)</f>
        <v>1153.93</v>
      </c>
      <c r="Q44" s="1"/>
      <c r="R44" s="5">
        <f t="shared" si="35"/>
        <v>0</v>
      </c>
      <c r="S44" s="1"/>
      <c r="T44" s="1">
        <f>SUM(OSRRefT22_5x_0)</f>
        <v>1138.94</v>
      </c>
      <c r="U44" s="1"/>
      <c r="V44" s="5">
        <f t="shared" si="36"/>
        <v>0.4599046223051359</v>
      </c>
      <c r="W44" s="1"/>
      <c r="X44" s="1">
        <f t="shared" si="37"/>
        <v>14.990000000000009</v>
      </c>
      <c r="Y44" s="1"/>
      <c r="Z44" s="5">
        <f t="shared" si="38"/>
        <v>1.3161360563330823E-2</v>
      </c>
    </row>
    <row r="45" spans="1:26" s="24" customFormat="1" hidden="1" outlineLevel="2" x14ac:dyDescent="0.3">
      <c r="A45" s="27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31"/>
        <v>0</v>
      </c>
      <c r="G45" s="2"/>
      <c r="H45" s="7">
        <v>-421.99</v>
      </c>
      <c r="I45" s="2"/>
      <c r="J45" s="6">
        <f t="shared" si="32"/>
        <v>0</v>
      </c>
      <c r="K45" s="2"/>
      <c r="L45" s="7">
        <f t="shared" si="33"/>
        <v>421.99</v>
      </c>
      <c r="M45" s="2"/>
      <c r="N45" s="6">
        <f t="shared" si="34"/>
        <v>-1</v>
      </c>
      <c r="O45" s="11"/>
      <c r="P45" s="7">
        <v>1153.93</v>
      </c>
      <c r="Q45" s="2"/>
      <c r="R45" s="6">
        <f t="shared" si="35"/>
        <v>0</v>
      </c>
      <c r="S45" s="2"/>
      <c r="T45" s="7">
        <v>1138.94</v>
      </c>
      <c r="U45" s="2"/>
      <c r="V45" s="6">
        <f t="shared" si="36"/>
        <v>0.4599046223051359</v>
      </c>
      <c r="W45" s="2"/>
      <c r="X45" s="7">
        <f t="shared" si="37"/>
        <v>14.990000000000009</v>
      </c>
      <c r="Y45" s="2"/>
      <c r="Z45" s="6">
        <f t="shared" si="38"/>
        <v>1.3161360563330823E-2</v>
      </c>
    </row>
    <row r="46" spans="1:26" s="29" customFormat="1" outlineLevel="1" collapsed="1" x14ac:dyDescent="0.3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4"/>
      <c r="P46" s="1">
        <f>SUM(OSRRefP22_6x_0)</f>
        <v>97.83</v>
      </c>
      <c r="Q46" s="1"/>
      <c r="R46" s="5">
        <f t="shared" si="35"/>
        <v>0</v>
      </c>
      <c r="S46" s="1"/>
      <c r="T46" s="1">
        <f>SUM(OSRRefT22_6x_0)</f>
        <v>492.62</v>
      </c>
      <c r="U46" s="1"/>
      <c r="V46" s="5">
        <f t="shared" si="36"/>
        <v>0.19892023727321548</v>
      </c>
      <c r="W46" s="1"/>
      <c r="X46" s="1">
        <f t="shared" si="37"/>
        <v>-394.79</v>
      </c>
      <c r="Y46" s="1"/>
      <c r="Z46" s="5">
        <f t="shared" si="38"/>
        <v>-0.80140879379643537</v>
      </c>
    </row>
    <row r="47" spans="1:26" s="24" customFormat="1" hidden="1" outlineLevel="2" x14ac:dyDescent="0.3">
      <c r="A47" s="27"/>
      <c r="B47" s="11" t="str">
        <f>CONCATENATE("          ", "6373", " - ", "MAINTENANCE CONTRACTS")</f>
        <v xml:space="preserve">          6373 - MAINTENANCE CONTRACTS</v>
      </c>
      <c r="C47" s="11"/>
      <c r="D47" s="7"/>
      <c r="E47" s="2"/>
      <c r="F47" s="6">
        <f t="shared" si="31"/>
        <v>0</v>
      </c>
      <c r="G47" s="2"/>
      <c r="H47" s="7"/>
      <c r="I47" s="2"/>
      <c r="J47" s="6">
        <f t="shared" si="32"/>
        <v>0</v>
      </c>
      <c r="K47" s="2"/>
      <c r="L47" s="7">
        <f t="shared" si="33"/>
        <v>0</v>
      </c>
      <c r="M47" s="2"/>
      <c r="N47" s="6">
        <f t="shared" si="34"/>
        <v>0</v>
      </c>
      <c r="O47" s="11"/>
      <c r="P47" s="7">
        <v>97.83</v>
      </c>
      <c r="Q47" s="2"/>
      <c r="R47" s="6">
        <f t="shared" si="35"/>
        <v>0</v>
      </c>
      <c r="S47" s="2"/>
      <c r="T47" s="7">
        <v>175.06</v>
      </c>
      <c r="U47" s="2"/>
      <c r="V47" s="6">
        <f t="shared" si="36"/>
        <v>7.0689327954709724E-2</v>
      </c>
      <c r="W47" s="2"/>
      <c r="X47" s="7">
        <f t="shared" si="37"/>
        <v>-77.23</v>
      </c>
      <c r="Y47" s="2"/>
      <c r="Z47" s="6">
        <f t="shared" si="38"/>
        <v>-0.44116302981834798</v>
      </c>
    </row>
    <row r="48" spans="1:26" s="24" customFormat="1" hidden="1" outlineLevel="2" x14ac:dyDescent="0.3">
      <c r="A48" s="27"/>
      <c r="B48" s="11" t="str">
        <f>CONCATENATE("          ", "6375", " - ", "OUTSIDE REPAIRS &amp; MAINTENANCE")</f>
        <v xml:space="preserve">          6375 - OUTSIDE REPAIRS &amp; MAINTENANCE</v>
      </c>
      <c r="C48" s="11"/>
      <c r="D48" s="7"/>
      <c r="E48" s="2"/>
      <c r="F48" s="6">
        <f t="shared" si="31"/>
        <v>0</v>
      </c>
      <c r="G48" s="2"/>
      <c r="H48" s="7"/>
      <c r="I48" s="2"/>
      <c r="J48" s="6">
        <f t="shared" si="32"/>
        <v>0</v>
      </c>
      <c r="K48" s="2"/>
      <c r="L48" s="7">
        <f t="shared" si="33"/>
        <v>0</v>
      </c>
      <c r="M48" s="2"/>
      <c r="N48" s="6">
        <f t="shared" si="34"/>
        <v>0</v>
      </c>
      <c r="O48" s="11"/>
      <c r="P48" s="7"/>
      <c r="Q48" s="2"/>
      <c r="R48" s="6">
        <f t="shared" si="35"/>
        <v>0</v>
      </c>
      <c r="S48" s="2"/>
      <c r="T48" s="7">
        <v>317.56</v>
      </c>
      <c r="U48" s="2"/>
      <c r="V48" s="6">
        <f t="shared" si="36"/>
        <v>0.12823090931850575</v>
      </c>
      <c r="W48" s="2"/>
      <c r="X48" s="7">
        <f t="shared" si="37"/>
        <v>-317.56</v>
      </c>
      <c r="Y48" s="2"/>
      <c r="Z48" s="6">
        <f t="shared" si="38"/>
        <v>-1</v>
      </c>
    </row>
    <row r="49" spans="1:26" s="29" customFormat="1" outlineLevel="1" collapsed="1" x14ac:dyDescent="0.3">
      <c r="A49" s="28"/>
      <c r="B49" s="14" t="str">
        <f>CONCATENATE("     ","Royalty &amp; Commissions                             ")</f>
        <v xml:space="preserve">     Royalty &amp; Commissions                             </v>
      </c>
      <c r="C49" s="14"/>
      <c r="D49" s="1">
        <f>SUM(OSRRefD22_7x_0)</f>
        <v>0</v>
      </c>
      <c r="E49" s="1"/>
      <c r="F49" s="5">
        <f t="shared" ref="F49:F53" si="39">IF(D$12=0,0,D49/D$12)</f>
        <v>0</v>
      </c>
      <c r="G49" s="1"/>
      <c r="H49" s="1">
        <f>SUM(OSRRefH22_7x_0)</f>
        <v>0</v>
      </c>
      <c r="I49" s="1"/>
      <c r="J49" s="5">
        <f t="shared" ref="J49:J53" si="40">IF(H$12=0,0,H49/H$12)</f>
        <v>0</v>
      </c>
      <c r="K49" s="1"/>
      <c r="L49" s="1">
        <f t="shared" ref="L49:L53" si="41">+D49-H49</f>
        <v>0</v>
      </c>
      <c r="M49" s="1"/>
      <c r="N49" s="5">
        <f t="shared" ref="N49:N53" si="42">IF(H49=0,0,L49/H49)</f>
        <v>0</v>
      </c>
      <c r="O49" s="14"/>
      <c r="P49" s="1">
        <f>SUM(OSRRefP22_7x_0)</f>
        <v>0</v>
      </c>
      <c r="Q49" s="1"/>
      <c r="R49" s="5">
        <f t="shared" ref="R49:R53" si="43">IF(P$12=0,0,P49/P$12)</f>
        <v>0</v>
      </c>
      <c r="S49" s="1"/>
      <c r="T49" s="1">
        <f>SUM(OSRRefT22_7x_0)</f>
        <v>185.7</v>
      </c>
      <c r="U49" s="1"/>
      <c r="V49" s="5">
        <f t="shared" ref="V49:V53" si="44">IF(T$12=0,0,T49/T$12)</f>
        <v>7.4985766029873155E-2</v>
      </c>
      <c r="W49" s="1"/>
      <c r="X49" s="1">
        <f t="shared" ref="X49:X53" si="45">+P49-T49</f>
        <v>-185.7</v>
      </c>
      <c r="Y49" s="1"/>
      <c r="Z49" s="5">
        <f t="shared" ref="Z49:Z53" si="46">IF(T49=0,0,X49/T49)</f>
        <v>-1</v>
      </c>
    </row>
    <row r="50" spans="1:26" s="24" customFormat="1" hidden="1" outlineLevel="2" x14ac:dyDescent="0.3">
      <c r="A50" s="27"/>
      <c r="B50" s="11" t="str">
        <f>CONCATENATE("          ", "6254", " - ", "ROYALTY &amp; COMMISSIONS")</f>
        <v xml:space="preserve">          6254 - ROYALTY &amp; COMMISSIONS</v>
      </c>
      <c r="C50" s="11"/>
      <c r="D50" s="7"/>
      <c r="E50" s="2"/>
      <c r="F50" s="6">
        <f t="shared" si="39"/>
        <v>0</v>
      </c>
      <c r="G50" s="2"/>
      <c r="H50" s="7"/>
      <c r="I50" s="2"/>
      <c r="J50" s="6">
        <f t="shared" si="40"/>
        <v>0</v>
      </c>
      <c r="K50" s="2"/>
      <c r="L50" s="7">
        <f t="shared" si="41"/>
        <v>0</v>
      </c>
      <c r="M50" s="2"/>
      <c r="N50" s="6">
        <f t="shared" si="42"/>
        <v>0</v>
      </c>
      <c r="O50" s="11"/>
      <c r="P50" s="7"/>
      <c r="Q50" s="2"/>
      <c r="R50" s="6">
        <f t="shared" si="43"/>
        <v>0</v>
      </c>
      <c r="S50" s="2"/>
      <c r="T50" s="7">
        <v>185.7</v>
      </c>
      <c r="U50" s="2"/>
      <c r="V50" s="6">
        <f t="shared" si="44"/>
        <v>7.4985766029873155E-2</v>
      </c>
      <c r="W50" s="2"/>
      <c r="X50" s="7">
        <f t="shared" si="45"/>
        <v>-185.7</v>
      </c>
      <c r="Y50" s="2"/>
      <c r="Z50" s="6">
        <f t="shared" si="46"/>
        <v>-1</v>
      </c>
    </row>
    <row r="51" spans="1:26" s="29" customFormat="1" outlineLevel="1" collapsed="1" x14ac:dyDescent="0.3">
      <c r="A51" s="28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0</v>
      </c>
      <c r="E51" s="1"/>
      <c r="F51" s="5">
        <f t="shared" si="39"/>
        <v>0</v>
      </c>
      <c r="G51" s="1"/>
      <c r="H51" s="1">
        <f>SUM(OSRRefH22_8x_0)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4"/>
      <c r="P51" s="1">
        <f>SUM(OSRRefP22_8x_0)</f>
        <v>103.2</v>
      </c>
      <c r="Q51" s="1"/>
      <c r="R51" s="5">
        <f t="shared" si="43"/>
        <v>0</v>
      </c>
      <c r="S51" s="1"/>
      <c r="T51" s="1">
        <f>SUM(OSRRefT22_8x_0)</f>
        <v>-63.319999999999993</v>
      </c>
      <c r="U51" s="1"/>
      <c r="V51" s="5">
        <f t="shared" si="44"/>
        <v>-2.556865215407414E-2</v>
      </c>
      <c r="W51" s="1"/>
      <c r="X51" s="1">
        <f t="shared" si="45"/>
        <v>166.51999999999998</v>
      </c>
      <c r="Y51" s="1"/>
      <c r="Z51" s="5">
        <f t="shared" si="46"/>
        <v>-2.6298168035375871</v>
      </c>
    </row>
    <row r="52" spans="1:26" s="24" customFormat="1" hidden="1" outlineLevel="2" x14ac:dyDescent="0.3">
      <c r="A52" s="27"/>
      <c r="B52" s="11" t="str">
        <f>CONCATENATE("          ", "6282", " - ", "JANITORIAL/EXTERMINATOR EXPENS")</f>
        <v xml:space="preserve">          6282 - JANITORIAL/EXTERMINATOR EXPENS</v>
      </c>
      <c r="C52" s="11"/>
      <c r="D52" s="7"/>
      <c r="E52" s="2"/>
      <c r="F52" s="6">
        <f t="shared" si="39"/>
        <v>0</v>
      </c>
      <c r="G52" s="2"/>
      <c r="H52" s="7"/>
      <c r="I52" s="2"/>
      <c r="J52" s="6">
        <f t="shared" si="40"/>
        <v>0</v>
      </c>
      <c r="K52" s="2"/>
      <c r="L52" s="7">
        <f t="shared" si="41"/>
        <v>0</v>
      </c>
      <c r="M52" s="2"/>
      <c r="N52" s="6">
        <f t="shared" si="42"/>
        <v>0</v>
      </c>
      <c r="O52" s="11"/>
      <c r="P52" s="7"/>
      <c r="Q52" s="2"/>
      <c r="R52" s="6">
        <f t="shared" si="43"/>
        <v>0</v>
      </c>
      <c r="S52" s="2"/>
      <c r="T52" s="7">
        <v>82</v>
      </c>
      <c r="U52" s="2"/>
      <c r="V52" s="6">
        <f t="shared" si="44"/>
        <v>3.3111646819868598E-2</v>
      </c>
      <c r="W52" s="2"/>
      <c r="X52" s="7">
        <f t="shared" si="45"/>
        <v>-82</v>
      </c>
      <c r="Y52" s="2"/>
      <c r="Z52" s="6">
        <f t="shared" si="46"/>
        <v>-1</v>
      </c>
    </row>
    <row r="53" spans="1:26" s="24" customFormat="1" hidden="1" outlineLevel="2" x14ac:dyDescent="0.3">
      <c r="A53" s="27"/>
      <c r="B53" s="11" t="str">
        <f>CONCATENATE("          ", "6285", " - ", "JANITORIAL SERVICES")</f>
        <v xml:space="preserve">          6285 - JANITORIAL SERVICES</v>
      </c>
      <c r="C53" s="11"/>
      <c r="D53" s="7"/>
      <c r="E53" s="2"/>
      <c r="F53" s="6">
        <f t="shared" si="39"/>
        <v>0</v>
      </c>
      <c r="G53" s="2"/>
      <c r="H53" s="7"/>
      <c r="I53" s="2"/>
      <c r="J53" s="6">
        <f t="shared" si="40"/>
        <v>0</v>
      </c>
      <c r="K53" s="2"/>
      <c r="L53" s="7">
        <f t="shared" si="41"/>
        <v>0</v>
      </c>
      <c r="M53" s="2"/>
      <c r="N53" s="6">
        <f t="shared" si="42"/>
        <v>0</v>
      </c>
      <c r="O53" s="11"/>
      <c r="P53" s="7">
        <v>103.2</v>
      </c>
      <c r="Q53" s="2"/>
      <c r="R53" s="6">
        <f t="shared" si="43"/>
        <v>0</v>
      </c>
      <c r="S53" s="2"/>
      <c r="T53" s="7">
        <v>-145.32</v>
      </c>
      <c r="U53" s="2"/>
      <c r="V53" s="6">
        <f t="shared" si="44"/>
        <v>-5.8680298973942738E-2</v>
      </c>
      <c r="W53" s="2"/>
      <c r="X53" s="7">
        <f t="shared" si="45"/>
        <v>248.51999999999998</v>
      </c>
      <c r="Y53" s="2"/>
      <c r="Z53" s="6">
        <f t="shared" si="46"/>
        <v>-1.7101568951279933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0</v>
      </c>
      <c r="E54" s="1"/>
      <c r="F54" s="5">
        <f t="shared" ref="F54:F59" si="47">IF(D$12=0,0,D54/D$12)</f>
        <v>0</v>
      </c>
      <c r="G54" s="1"/>
      <c r="H54" s="1">
        <f>SUM(OSRRefH22_9x_0)</f>
        <v>0</v>
      </c>
      <c r="I54" s="1"/>
      <c r="J54" s="5">
        <f t="shared" ref="J54:J59" si="48">IF(H$12=0,0,H54/H$12)</f>
        <v>0</v>
      </c>
      <c r="K54" s="1"/>
      <c r="L54" s="1">
        <f t="shared" ref="L54:L59" si="49">+D54-H54</f>
        <v>0</v>
      </c>
      <c r="M54" s="1"/>
      <c r="N54" s="5">
        <f t="shared" ref="N54:N59" si="50">IF(H54=0,0,L54/H54)</f>
        <v>0</v>
      </c>
      <c r="O54" s="14"/>
      <c r="P54" s="1">
        <f>SUM(OSRRefP22_9x_0)</f>
        <v>1239.94</v>
      </c>
      <c r="Q54" s="1"/>
      <c r="R54" s="5">
        <f t="shared" ref="R54:R59" si="51">IF(P$12=0,0,P54/P$12)</f>
        <v>0</v>
      </c>
      <c r="S54" s="1"/>
      <c r="T54" s="1">
        <f>SUM(OSRRefT22_9x_0)</f>
        <v>328.55</v>
      </c>
      <c r="U54" s="1"/>
      <c r="V54" s="5">
        <f t="shared" ref="V54:V59" si="52">IF(T$12=0,0,T54/T$12)</f>
        <v>0.13266867759351011</v>
      </c>
      <c r="W54" s="1"/>
      <c r="X54" s="1">
        <f t="shared" ref="X54:X59" si="53">+P54-T54</f>
        <v>911.3900000000001</v>
      </c>
      <c r="Y54" s="1"/>
      <c r="Z54" s="5">
        <f t="shared" ref="Z54:Z59" si="54">IF(T54=0,0,X54/T54)</f>
        <v>2.7739765636889366</v>
      </c>
    </row>
    <row r="55" spans="1:26" s="24" customFormat="1" hidden="1" outlineLevel="2" x14ac:dyDescent="0.3">
      <c r="A55" s="27"/>
      <c r="B55" s="11" t="str">
        <f>CONCATENATE("          ", "6234", " - ", "EXPENDABLE SUPPLIES &amp; EQUIPMEN")</f>
        <v xml:space="preserve">          6234 - EXPENDABLE SUPPLIES &amp; EQUIPMEN</v>
      </c>
      <c r="C55" s="11"/>
      <c r="D55" s="7"/>
      <c r="E55" s="2"/>
      <c r="F55" s="6">
        <f t="shared" si="47"/>
        <v>0</v>
      </c>
      <c r="G55" s="2"/>
      <c r="H55" s="7"/>
      <c r="I55" s="2"/>
      <c r="J55" s="6">
        <f t="shared" si="48"/>
        <v>0</v>
      </c>
      <c r="K55" s="2"/>
      <c r="L55" s="7">
        <f t="shared" si="49"/>
        <v>0</v>
      </c>
      <c r="M55" s="2"/>
      <c r="N55" s="6">
        <f t="shared" si="50"/>
        <v>0</v>
      </c>
      <c r="O55" s="11"/>
      <c r="P55" s="7">
        <v>1194.8900000000001</v>
      </c>
      <c r="Q55" s="2"/>
      <c r="R55" s="6">
        <f t="shared" si="51"/>
        <v>0</v>
      </c>
      <c r="S55" s="2"/>
      <c r="T55" s="7"/>
      <c r="U55" s="2"/>
      <c r="V55" s="6">
        <f t="shared" si="52"/>
        <v>0</v>
      </c>
      <c r="W55" s="2"/>
      <c r="X55" s="7">
        <f t="shared" si="53"/>
        <v>1194.8900000000001</v>
      </c>
      <c r="Y55" s="2"/>
      <c r="Z55" s="6">
        <f t="shared" si="54"/>
        <v>0</v>
      </c>
    </row>
    <row r="56" spans="1:26" s="24" customFormat="1" hidden="1" outlineLevel="2" x14ac:dyDescent="0.3">
      <c r="A56" s="27"/>
      <c r="B56" s="11" t="str">
        <f>CONCATENATE("          ", "6235", " - ", "COVID-19 EXPENSES")</f>
        <v xml:space="preserve">          6235 - COVID-19 EXPENSES</v>
      </c>
      <c r="C56" s="11"/>
      <c r="D56" s="7"/>
      <c r="E56" s="2"/>
      <c r="F56" s="6">
        <f t="shared" si="47"/>
        <v>0</v>
      </c>
      <c r="G56" s="2"/>
      <c r="H56" s="7"/>
      <c r="I56" s="2"/>
      <c r="J56" s="6">
        <f t="shared" si="48"/>
        <v>0</v>
      </c>
      <c r="K56" s="2"/>
      <c r="L56" s="7">
        <f t="shared" si="49"/>
        <v>0</v>
      </c>
      <c r="M56" s="2"/>
      <c r="N56" s="6">
        <f t="shared" si="50"/>
        <v>0</v>
      </c>
      <c r="O56" s="11"/>
      <c r="P56" s="7"/>
      <c r="Q56" s="2"/>
      <c r="R56" s="6">
        <f t="shared" si="51"/>
        <v>0</v>
      </c>
      <c r="S56" s="2"/>
      <c r="T56" s="7">
        <v>207.27</v>
      </c>
      <c r="U56" s="2"/>
      <c r="V56" s="6">
        <f t="shared" si="52"/>
        <v>8.3695744345782502E-2</v>
      </c>
      <c r="W56" s="2"/>
      <c r="X56" s="7">
        <f t="shared" si="53"/>
        <v>-207.27</v>
      </c>
      <c r="Y56" s="2"/>
      <c r="Z56" s="6">
        <f t="shared" si="54"/>
        <v>-1</v>
      </c>
    </row>
    <row r="57" spans="1:26" s="24" customFormat="1" hidden="1" outlineLevel="2" x14ac:dyDescent="0.3">
      <c r="A57" s="27"/>
      <c r="B57" s="11" t="str">
        <f>CONCATENATE("          ", "6237", " - ", "JANITORIAL SUPPLIES")</f>
        <v xml:space="preserve">          6237 - JANITORIAL SUPPLIES</v>
      </c>
      <c r="C57" s="11"/>
      <c r="D57" s="7"/>
      <c r="E57" s="2"/>
      <c r="F57" s="6">
        <f t="shared" si="47"/>
        <v>0</v>
      </c>
      <c r="G57" s="2"/>
      <c r="H57" s="7"/>
      <c r="I57" s="2"/>
      <c r="J57" s="6">
        <f t="shared" si="48"/>
        <v>0</v>
      </c>
      <c r="K57" s="2"/>
      <c r="L57" s="7">
        <f t="shared" si="49"/>
        <v>0</v>
      </c>
      <c r="M57" s="2"/>
      <c r="N57" s="6">
        <f t="shared" si="50"/>
        <v>0</v>
      </c>
      <c r="O57" s="11"/>
      <c r="P57" s="7">
        <v>38.340000000000003</v>
      </c>
      <c r="Q57" s="2"/>
      <c r="R57" s="6">
        <f t="shared" si="51"/>
        <v>0</v>
      </c>
      <c r="S57" s="2"/>
      <c r="T57" s="7"/>
      <c r="U57" s="2"/>
      <c r="V57" s="6">
        <f t="shared" si="52"/>
        <v>0</v>
      </c>
      <c r="W57" s="2"/>
      <c r="X57" s="7">
        <f t="shared" si="53"/>
        <v>38.340000000000003</v>
      </c>
      <c r="Y57" s="2"/>
      <c r="Z57" s="6">
        <f t="shared" si="54"/>
        <v>0</v>
      </c>
    </row>
    <row r="58" spans="1:26" s="24" customFormat="1" hidden="1" outlineLevel="2" x14ac:dyDescent="0.3">
      <c r="A58" s="27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47"/>
        <v>0</v>
      </c>
      <c r="G58" s="2"/>
      <c r="H58" s="7"/>
      <c r="I58" s="2"/>
      <c r="J58" s="6">
        <f t="shared" si="48"/>
        <v>0</v>
      </c>
      <c r="K58" s="2"/>
      <c r="L58" s="7">
        <f t="shared" si="49"/>
        <v>0</v>
      </c>
      <c r="M58" s="2"/>
      <c r="N58" s="6">
        <f t="shared" si="50"/>
        <v>0</v>
      </c>
      <c r="O58" s="11"/>
      <c r="P58" s="7">
        <v>6.71</v>
      </c>
      <c r="Q58" s="2"/>
      <c r="R58" s="6">
        <f t="shared" si="51"/>
        <v>0</v>
      </c>
      <c r="S58" s="2"/>
      <c r="T58" s="7"/>
      <c r="U58" s="2"/>
      <c r="V58" s="6">
        <f t="shared" si="52"/>
        <v>0</v>
      </c>
      <c r="W58" s="2"/>
      <c r="X58" s="7">
        <f t="shared" si="53"/>
        <v>6.71</v>
      </c>
      <c r="Y58" s="2"/>
      <c r="Z58" s="6">
        <f t="shared" si="54"/>
        <v>0</v>
      </c>
    </row>
    <row r="59" spans="1:26" s="24" customFormat="1" hidden="1" outlineLevel="2" x14ac:dyDescent="0.3">
      <c r="A59" s="27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7"/>
        <v>0</v>
      </c>
      <c r="G59" s="2"/>
      <c r="H59" s="7"/>
      <c r="I59" s="2"/>
      <c r="J59" s="6">
        <f t="shared" si="48"/>
        <v>0</v>
      </c>
      <c r="K59" s="2"/>
      <c r="L59" s="7">
        <f t="shared" si="49"/>
        <v>0</v>
      </c>
      <c r="M59" s="2"/>
      <c r="N59" s="6">
        <f t="shared" si="50"/>
        <v>0</v>
      </c>
      <c r="O59" s="11"/>
      <c r="P59" s="7"/>
      <c r="Q59" s="2"/>
      <c r="R59" s="6">
        <f t="shared" si="51"/>
        <v>0</v>
      </c>
      <c r="S59" s="2"/>
      <c r="T59" s="7">
        <v>121.28</v>
      </c>
      <c r="U59" s="2"/>
      <c r="V59" s="6">
        <f t="shared" si="52"/>
        <v>4.8972933247727606E-2</v>
      </c>
      <c r="W59" s="2"/>
      <c r="X59" s="7">
        <f t="shared" si="53"/>
        <v>-121.28</v>
      </c>
      <c r="Y59" s="2"/>
      <c r="Z59" s="6">
        <f t="shared" si="54"/>
        <v>-1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SUM(OSRRefD22_10x_0)</f>
        <v>-448.5</v>
      </c>
      <c r="E60" s="1"/>
      <c r="F60" s="5">
        <f t="shared" ref="F60:F63" si="55">IF(D$12=0,0,D60/D$12)</f>
        <v>0</v>
      </c>
      <c r="G60" s="1"/>
      <c r="H60" s="1">
        <f>SUM(OSRRefH22_10x_0)</f>
        <v>51.5</v>
      </c>
      <c r="I60" s="1"/>
      <c r="J60" s="5">
        <f t="shared" ref="J60:J63" si="56">IF(H$12=0,0,H60/H$12)</f>
        <v>0</v>
      </c>
      <c r="K60" s="1"/>
      <c r="L60" s="1">
        <f t="shared" ref="L60:L63" si="57">+D60-H60</f>
        <v>-500</v>
      </c>
      <c r="M60" s="1"/>
      <c r="N60" s="5">
        <f t="shared" ref="N60:N63" si="58">IF(H60=0,0,L60/H60)</f>
        <v>-9.7087378640776691</v>
      </c>
      <c r="O60" s="14"/>
      <c r="P60" s="1">
        <f>SUM(OSRRefP22_10x_0)</f>
        <v>287</v>
      </c>
      <c r="Q60" s="1"/>
      <c r="R60" s="5">
        <f t="shared" ref="R60:R63" si="59">IF(P$12=0,0,P60/P$12)</f>
        <v>0</v>
      </c>
      <c r="S60" s="1"/>
      <c r="T60" s="1">
        <f>SUM(OSRRefT22_10x_0)</f>
        <v>684</v>
      </c>
      <c r="U60" s="1"/>
      <c r="V60" s="5">
        <f t="shared" ref="V60:V63" si="60">IF(T$12=0,0,T60/T$12)</f>
        <v>0.27619959054622101</v>
      </c>
      <c r="W60" s="1"/>
      <c r="X60" s="1">
        <f t="shared" ref="X60:X63" si="61">+P60-T60</f>
        <v>-397</v>
      </c>
      <c r="Y60" s="1"/>
      <c r="Z60" s="5">
        <f t="shared" ref="Z60:Z63" si="62">IF(T60=0,0,X60/T60)</f>
        <v>-0.58040935672514615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7">
        <v>-448.5</v>
      </c>
      <c r="E61" s="2"/>
      <c r="F61" s="6">
        <f t="shared" si="55"/>
        <v>0</v>
      </c>
      <c r="G61" s="2"/>
      <c r="H61" s="7">
        <v>51.5</v>
      </c>
      <c r="I61" s="2"/>
      <c r="J61" s="6">
        <f t="shared" si="56"/>
        <v>0</v>
      </c>
      <c r="K61" s="2"/>
      <c r="L61" s="7">
        <f t="shared" si="57"/>
        <v>-500</v>
      </c>
      <c r="M61" s="2"/>
      <c r="N61" s="6">
        <f t="shared" si="58"/>
        <v>-9.7087378640776691</v>
      </c>
      <c r="O61" s="11"/>
      <c r="P61" s="7">
        <v>287</v>
      </c>
      <c r="Q61" s="2"/>
      <c r="R61" s="6">
        <f t="shared" si="59"/>
        <v>0</v>
      </c>
      <c r="S61" s="2"/>
      <c r="T61" s="7">
        <v>684</v>
      </c>
      <c r="U61" s="2"/>
      <c r="V61" s="6">
        <f t="shared" si="60"/>
        <v>0.27619959054622101</v>
      </c>
      <c r="W61" s="2"/>
      <c r="X61" s="7">
        <f t="shared" si="61"/>
        <v>-397</v>
      </c>
      <c r="Y61" s="2"/>
      <c r="Z61" s="6">
        <f t="shared" si="62"/>
        <v>-0.58040935672514615</v>
      </c>
    </row>
    <row r="62" spans="1:26" s="29" customFormat="1" outlineLevel="1" collapsed="1" x14ac:dyDescent="0.3">
      <c r="A62" s="28"/>
      <c r="B62" s="14" t="str">
        <f>CONCATENATE("     ","Utilities                                         ")</f>
        <v xml:space="preserve">     Utilities                                         </v>
      </c>
      <c r="C62" s="14"/>
      <c r="D62" s="1">
        <f>SUM(OSRRefD22_11x_0)</f>
        <v>0</v>
      </c>
      <c r="E62" s="1"/>
      <c r="F62" s="5">
        <f t="shared" si="55"/>
        <v>0</v>
      </c>
      <c r="G62" s="1"/>
      <c r="H62" s="1">
        <f>SUM(OSRRefH22_11x_0)</f>
        <v>50</v>
      </c>
      <c r="I62" s="1"/>
      <c r="J62" s="5">
        <f t="shared" si="56"/>
        <v>0</v>
      </c>
      <c r="K62" s="1"/>
      <c r="L62" s="1">
        <f t="shared" si="57"/>
        <v>-50</v>
      </c>
      <c r="M62" s="1"/>
      <c r="N62" s="5">
        <f t="shared" si="58"/>
        <v>-1</v>
      </c>
      <c r="O62" s="14"/>
      <c r="P62" s="1">
        <f>SUM(OSRRefP22_11x_0)</f>
        <v>0</v>
      </c>
      <c r="Q62" s="1"/>
      <c r="R62" s="5">
        <f t="shared" si="59"/>
        <v>0</v>
      </c>
      <c r="S62" s="1"/>
      <c r="T62" s="1">
        <f>SUM(OSRRefT22_11x_0)</f>
        <v>350</v>
      </c>
      <c r="U62" s="1"/>
      <c r="V62" s="5">
        <f t="shared" si="60"/>
        <v>0.14133019984090256</v>
      </c>
      <c r="W62" s="1"/>
      <c r="X62" s="1">
        <f t="shared" si="61"/>
        <v>-350</v>
      </c>
      <c r="Y62" s="1"/>
      <c r="Z62" s="5">
        <f t="shared" si="62"/>
        <v>-1</v>
      </c>
    </row>
    <row r="63" spans="1:26" s="24" customFormat="1" hidden="1" outlineLevel="2" x14ac:dyDescent="0.3">
      <c r="A63" s="27"/>
      <c r="B63" s="11" t="str">
        <f>CONCATENATE("          ", "6274", " - ", "UTILITIES")</f>
        <v xml:space="preserve">          6274 - UTILITIES</v>
      </c>
      <c r="C63" s="11"/>
      <c r="D63" s="7"/>
      <c r="E63" s="2"/>
      <c r="F63" s="6">
        <f t="shared" si="55"/>
        <v>0</v>
      </c>
      <c r="G63" s="2"/>
      <c r="H63" s="7">
        <v>50</v>
      </c>
      <c r="I63" s="2"/>
      <c r="J63" s="6">
        <f t="shared" si="56"/>
        <v>0</v>
      </c>
      <c r="K63" s="2"/>
      <c r="L63" s="7">
        <f t="shared" si="57"/>
        <v>-50</v>
      </c>
      <c r="M63" s="2"/>
      <c r="N63" s="6">
        <f t="shared" si="58"/>
        <v>-1</v>
      </c>
      <c r="O63" s="11"/>
      <c r="P63" s="7"/>
      <c r="Q63" s="2"/>
      <c r="R63" s="6">
        <f t="shared" si="59"/>
        <v>0</v>
      </c>
      <c r="S63" s="2"/>
      <c r="T63" s="7">
        <v>350</v>
      </c>
      <c r="U63" s="2"/>
      <c r="V63" s="6">
        <f t="shared" si="60"/>
        <v>0.14133019984090256</v>
      </c>
      <c r="W63" s="2"/>
      <c r="X63" s="7">
        <f t="shared" si="61"/>
        <v>-350</v>
      </c>
      <c r="Y63" s="2"/>
      <c r="Z63" s="6">
        <f t="shared" si="62"/>
        <v>-1</v>
      </c>
    </row>
    <row r="64" spans="1:26" s="52" customFormat="1" x14ac:dyDescent="0.3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6" t="s">
        <v>292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10"/>
      <c r="B67" s="25" t="s">
        <v>276</v>
      </c>
      <c r="C67" s="25"/>
      <c r="D67" s="21">
        <f>+D20-D22+D65</f>
        <v>-7377.6</v>
      </c>
      <c r="E67" s="13"/>
      <c r="F67" s="22">
        <f>IF(D$12=0,0,D67/D$12)</f>
        <v>0</v>
      </c>
      <c r="G67" s="13"/>
      <c r="H67" s="21">
        <f>+H20-H22+H65</f>
        <v>-722.07999999999993</v>
      </c>
      <c r="I67" s="13"/>
      <c r="J67" s="22">
        <f>IF(H$12=0,0,H67/H$12)</f>
        <v>0</v>
      </c>
      <c r="K67" s="15"/>
      <c r="L67" s="21">
        <f>+D67-H67</f>
        <v>-6655.52</v>
      </c>
      <c r="M67" s="15"/>
      <c r="N67" s="22">
        <f>IF(H67=0,0,L67/H67)</f>
        <v>9.2171504542432992</v>
      </c>
      <c r="O67" s="26"/>
      <c r="P67" s="21">
        <f>+P20-P22+P65</f>
        <v>-28608.33</v>
      </c>
      <c r="Q67" s="13"/>
      <c r="R67" s="22">
        <f>IF(P$12=0,0,P67/P$12)</f>
        <v>0</v>
      </c>
      <c r="S67" s="13"/>
      <c r="T67" s="21">
        <f>+T20-T22+T65</f>
        <v>-33681.87999999999</v>
      </c>
      <c r="U67" s="13"/>
      <c r="V67" s="22">
        <f>IF(T$12=0,0,T67/T$12)</f>
        <v>-13.600762375477993</v>
      </c>
      <c r="W67" s="15"/>
      <c r="X67" s="21">
        <f>+P67-T67</f>
        <v>5073.5499999999884</v>
      </c>
      <c r="Y67" s="15"/>
      <c r="Z67" s="22">
        <f>IF(T67=0,0,X67/T67)</f>
        <v>-0.1506314374375774</v>
      </c>
    </row>
    <row r="68" spans="1:26" x14ac:dyDescent="0.3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">
      <c r="A69" s="51"/>
      <c r="B69" s="10" t="s">
        <v>127</v>
      </c>
      <c r="C69" s="10"/>
      <c r="D69" s="4"/>
      <c r="E69" s="4"/>
      <c r="F69" s="12">
        <f>IF(D$12=0,0,D69/D$12)</f>
        <v>0</v>
      </c>
      <c r="G69" s="4"/>
      <c r="H69" s="4">
        <v>-8.66</v>
      </c>
      <c r="I69" s="4"/>
      <c r="J69" s="12">
        <f>IF(H$12=0,0,H69/H$12)</f>
        <v>0</v>
      </c>
      <c r="K69" s="4"/>
      <c r="L69" s="4">
        <f>+D69-H69</f>
        <v>8.66</v>
      </c>
      <c r="M69" s="4"/>
      <c r="N69" s="12">
        <f>IF(H69=0,0,L69/H69)</f>
        <v>-1</v>
      </c>
      <c r="O69" s="10"/>
      <c r="P69" s="4"/>
      <c r="Q69" s="4"/>
      <c r="R69" s="12">
        <f>IF(P$12=0,0,P69/P$12)</f>
        <v>0</v>
      </c>
      <c r="S69" s="4"/>
      <c r="T69" s="4">
        <v>449.54</v>
      </c>
      <c r="U69" s="4"/>
      <c r="V69" s="12">
        <f>IF(T$12=0,0,T69/T$12)</f>
        <v>0.18152450867565526</v>
      </c>
      <c r="W69" s="4"/>
      <c r="X69" s="4">
        <f>+P69-T69</f>
        <v>-449.54</v>
      </c>
      <c r="Y69" s="4"/>
      <c r="Z69" s="12">
        <f>IF(T69=0,0,X69/T69)</f>
        <v>-1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35">
      <c r="A71" s="10"/>
      <c r="B71" s="25" t="s">
        <v>125</v>
      </c>
      <c r="C71" s="25"/>
      <c r="D71" s="36">
        <f>+D67-D69</f>
        <v>-7377.6</v>
      </c>
      <c r="E71" s="13"/>
      <c r="F71" s="31">
        <f>IF(D$12=0,0,D71/D$12)</f>
        <v>0</v>
      </c>
      <c r="G71" s="13"/>
      <c r="H71" s="36">
        <f>+H67-H69</f>
        <v>-713.42</v>
      </c>
      <c r="I71" s="13"/>
      <c r="J71" s="31">
        <f>IF(H$12=0,0,H71/H$12)</f>
        <v>0</v>
      </c>
      <c r="K71" s="15"/>
      <c r="L71" s="36">
        <f>D71-H71</f>
        <v>-6664.18</v>
      </c>
      <c r="M71" s="15"/>
      <c r="N71" s="31">
        <f>IF(H71=0,0,L71/H71)</f>
        <v>9.3411735022847697</v>
      </c>
      <c r="O71" s="26"/>
      <c r="P71" s="36">
        <f>+P67-P69</f>
        <v>-28608.33</v>
      </c>
      <c r="Q71" s="13"/>
      <c r="R71" s="31">
        <f>IF(P$12=0,0,P71/P$12)</f>
        <v>0</v>
      </c>
      <c r="S71" s="13"/>
      <c r="T71" s="36">
        <f>+T67-T69</f>
        <v>-34131.419999999991</v>
      </c>
      <c r="U71" s="13"/>
      <c r="V71" s="31">
        <f>IF(T$12=0,0,T71/T$12)</f>
        <v>-13.782286884153649</v>
      </c>
      <c r="W71" s="15"/>
      <c r="X71" s="36">
        <f>P71-T71</f>
        <v>5523.0899999999892</v>
      </c>
      <c r="Y71" s="15"/>
      <c r="Z71" s="31">
        <f>IF(T71=0,0,X71/T71)</f>
        <v>-0.16181834802067979</v>
      </c>
    </row>
    <row r="72" spans="1:26" ht="15" thickTop="1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5" t="s">
        <v>293</v>
      </c>
      <c r="C74" s="25"/>
      <c r="D74" s="35">
        <f>SUM(D71:D73)</f>
        <v>-7377.6</v>
      </c>
      <c r="E74" s="13"/>
      <c r="F74" s="32">
        <f>IF(D$12=0,0,D74/D$12)</f>
        <v>0</v>
      </c>
      <c r="G74" s="13"/>
      <c r="H74" s="35">
        <f>SUM(H71:H73)</f>
        <v>-713.42</v>
      </c>
      <c r="I74" s="13"/>
      <c r="J74" s="32">
        <f>IF(H$12=0,0,H74/H$12)</f>
        <v>0</v>
      </c>
      <c r="K74" s="15"/>
      <c r="L74" s="35">
        <f>+D74-H74</f>
        <v>-6664.18</v>
      </c>
      <c r="M74" s="15"/>
      <c r="N74" s="32">
        <f>IF(H74=0,0,L74/H74)</f>
        <v>9.3411735022847697</v>
      </c>
      <c r="O74" s="26"/>
      <c r="P74" s="35">
        <f>SUM(P71:P73)</f>
        <v>-28608.33</v>
      </c>
      <c r="Q74" s="13"/>
      <c r="R74" s="32">
        <f>IF(P$12=0,0,P74/P$12)</f>
        <v>0</v>
      </c>
      <c r="S74" s="13"/>
      <c r="T74" s="35">
        <f>SUM(T71:T73)</f>
        <v>-34131.419999999991</v>
      </c>
      <c r="U74" s="13"/>
      <c r="V74" s="32">
        <f>IF(T$12=0,0,T74/T$12)</f>
        <v>-13.782286884153649</v>
      </c>
      <c r="W74" s="15"/>
      <c r="X74" s="35">
        <f>+P74-T74</f>
        <v>5523.0899999999892</v>
      </c>
      <c r="Y74" s="15"/>
      <c r="Z74" s="32">
        <f>IF(T74=0,0,X74/T74)</f>
        <v>-0.16181834802067979</v>
      </c>
    </row>
    <row r="75" spans="1:26" ht="15" thickTop="1" x14ac:dyDescent="0.3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4">
        <v>44604.028475694446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53" t="s">
        <v>56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A78" s="9"/>
      <c r="B78" s="5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","322", " - ", "Beach Hut")</f>
        <v>Department 322 - Beach Hut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6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1222.33</v>
      </c>
      <c r="U17" s="13"/>
      <c r="V17" s="22">
        <f>IF(T$12=0,0,T17/T$12)</f>
        <v>0</v>
      </c>
      <c r="W17" s="15"/>
      <c r="X17" s="21">
        <f>+P17-T17</f>
        <v>-1222.33</v>
      </c>
      <c r="Y17" s="15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0</v>
      </c>
      <c r="E19" s="20"/>
      <c r="F19" s="30">
        <f t="shared" ref="F19:F25" si="8">IF(D$12=0,0,D19/D$12)</f>
        <v>0</v>
      </c>
      <c r="G19" s="20"/>
      <c r="H19" s="20">
        <f>SUM(OSRRefH22x_0)</f>
        <v>2225.34</v>
      </c>
      <c r="I19" s="20"/>
      <c r="J19" s="30">
        <f t="shared" ref="J19:J25" si="9">IF(H$12=0,0,H19/H$12)</f>
        <v>0</v>
      </c>
      <c r="K19" s="4"/>
      <c r="L19" s="20">
        <f t="shared" ref="L19:L25" si="10">+D19-H19</f>
        <v>-2225.34</v>
      </c>
      <c r="M19" s="4"/>
      <c r="N19" s="30">
        <f t="shared" ref="N19:N25" si="11">IF(H19=0,0,L19/H19)</f>
        <v>-1</v>
      </c>
      <c r="O19" s="10"/>
      <c r="P19" s="20">
        <f>SUM(OSRRefP22x_0)</f>
        <v>0</v>
      </c>
      <c r="Q19" s="20"/>
      <c r="R19" s="30">
        <f t="shared" ref="R19:R25" si="12">IF(P$12=0,0,P19/P$12)</f>
        <v>0</v>
      </c>
      <c r="S19" s="20"/>
      <c r="T19" s="20">
        <f>SUM(OSRRefT22x_0)</f>
        <v>18015.629999999997</v>
      </c>
      <c r="U19" s="20"/>
      <c r="V19" s="30">
        <f t="shared" ref="V19:V25" si="13">IF(T$12=0,0,T19/T$12)</f>
        <v>0</v>
      </c>
      <c r="W19" s="4"/>
      <c r="X19" s="20">
        <f t="shared" ref="X19:X25" si="14">+P19-T19</f>
        <v>-18015.629999999997</v>
      </c>
      <c r="Y19" s="4"/>
      <c r="Z19" s="30">
        <f t="shared" ref="Z19:Z25" si="15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/>
      <c r="Q21" s="2"/>
      <c r="R21" s="6">
        <f t="shared" si="12"/>
        <v>0</v>
      </c>
      <c r="S21" s="2"/>
      <c r="T21" s="7">
        <v>159.12</v>
      </c>
      <c r="U21" s="2"/>
      <c r="V21" s="6">
        <f t="shared" si="13"/>
        <v>0</v>
      </c>
      <c r="W21" s="2"/>
      <c r="X21" s="7">
        <f t="shared" si="14"/>
        <v>-159.12</v>
      </c>
      <c r="Y21" s="2"/>
      <c r="Z21" s="6">
        <f t="shared" si="15"/>
        <v>-1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/>
      <c r="Q22" s="2"/>
      <c r="R22" s="6">
        <f t="shared" si="12"/>
        <v>0</v>
      </c>
      <c r="S22" s="2"/>
      <c r="T22" s="7">
        <v>683.68</v>
      </c>
      <c r="U22" s="2"/>
      <c r="V22" s="6">
        <f t="shared" si="13"/>
        <v>0</v>
      </c>
      <c r="W22" s="2"/>
      <c r="X22" s="7">
        <f t="shared" si="14"/>
        <v>-683.68</v>
      </c>
      <c r="Y22" s="2"/>
      <c r="Z22" s="6">
        <f t="shared" si="15"/>
        <v>-1</v>
      </c>
    </row>
    <row r="23" spans="1:26" s="24" customFormat="1" hidden="1" outlineLevel="2" x14ac:dyDescent="0.3">
      <c r="A23" s="27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/>
      <c r="Q23" s="2"/>
      <c r="R23" s="6">
        <f t="shared" si="12"/>
        <v>0</v>
      </c>
      <c r="S23" s="2"/>
      <c r="T23" s="7">
        <v>321.57</v>
      </c>
      <c r="U23" s="2"/>
      <c r="V23" s="6">
        <f t="shared" si="13"/>
        <v>0</v>
      </c>
      <c r="W23" s="2"/>
      <c r="X23" s="7">
        <f t="shared" si="14"/>
        <v>-321.57</v>
      </c>
      <c r="Y23" s="2"/>
      <c r="Z23" s="6">
        <f t="shared" si="15"/>
        <v>-1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/>
      <c r="Q24" s="2"/>
      <c r="R24" s="6">
        <f t="shared" si="12"/>
        <v>0</v>
      </c>
      <c r="S24" s="2"/>
      <c r="T24" s="7">
        <v>239.72</v>
      </c>
      <c r="U24" s="2"/>
      <c r="V24" s="6">
        <f t="shared" si="13"/>
        <v>0</v>
      </c>
      <c r="W24" s="2"/>
      <c r="X24" s="7">
        <f t="shared" si="14"/>
        <v>-239.72</v>
      </c>
      <c r="Y24" s="2"/>
      <c r="Z24" s="6">
        <f t="shared" si="15"/>
        <v>-1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/>
      <c r="Q25" s="2"/>
      <c r="R25" s="6">
        <f t="shared" si="12"/>
        <v>0</v>
      </c>
      <c r="S25" s="2"/>
      <c r="T25" s="7">
        <v>191.88</v>
      </c>
      <c r="U25" s="2"/>
      <c r="V25" s="6">
        <f t="shared" si="13"/>
        <v>0</v>
      </c>
      <c r="W25" s="2"/>
      <c r="X25" s="7">
        <f t="shared" si="14"/>
        <v>-191.88</v>
      </c>
      <c r="Y25" s="2"/>
      <c r="Z25" s="6">
        <f t="shared" si="15"/>
        <v>-1</v>
      </c>
    </row>
    <row r="26" spans="1:26" s="29" customFormat="1" outlineLevel="1" collapsed="1" x14ac:dyDescent="0.3">
      <c r="A26" s="28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3">
      <c r="A27" s="27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/>
      <c r="Q27" s="2"/>
      <c r="R27" s="6">
        <f t="shared" si="20"/>
        <v>0</v>
      </c>
      <c r="S27" s="2"/>
      <c r="T27" s="7">
        <v>2080</v>
      </c>
      <c r="U27" s="2"/>
      <c r="V27" s="6">
        <f t="shared" si="21"/>
        <v>0</v>
      </c>
      <c r="W27" s="2"/>
      <c r="X27" s="7">
        <f t="shared" si="22"/>
        <v>-2080</v>
      </c>
      <c r="Y27" s="2"/>
      <c r="Z27" s="6">
        <f t="shared" si="23"/>
        <v>-1</v>
      </c>
    </row>
    <row r="28" spans="1:26" s="29" customFormat="1" outlineLevel="1" collapsed="1" x14ac:dyDescent="0.3">
      <c r="A28" s="28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14121.38</v>
      </c>
      <c r="U28" s="1"/>
      <c r="V28" s="5">
        <f t="shared" si="21"/>
        <v>0</v>
      </c>
      <c r="W28" s="1"/>
      <c r="X28" s="1">
        <f t="shared" si="22"/>
        <v>-14121.38</v>
      </c>
      <c r="Y28" s="1"/>
      <c r="Z28" s="5">
        <f t="shared" si="23"/>
        <v>-1</v>
      </c>
    </row>
    <row r="29" spans="1:26" s="24" customFormat="1" hidden="1" outlineLevel="2" x14ac:dyDescent="0.3">
      <c r="A29" s="27"/>
      <c r="B29" s="11" t="str">
        <f>CONCATENATE("          ", "6322", " - ", "EQUIPMENT DEPRECIATION EXPENSE")</f>
        <v xml:space="preserve">          6322 - EQUIPMENT DEPRECIATION EXPENSE</v>
      </c>
      <c r="C29" s="11"/>
      <c r="D29" s="7"/>
      <c r="E29" s="2"/>
      <c r="F29" s="6">
        <f t="shared" si="16"/>
        <v>0</v>
      </c>
      <c r="G29" s="2"/>
      <c r="H29" s="7">
        <v>2017.34</v>
      </c>
      <c r="I29" s="2"/>
      <c r="J29" s="6">
        <f t="shared" si="17"/>
        <v>0</v>
      </c>
      <c r="K29" s="2"/>
      <c r="L29" s="7">
        <f t="shared" si="18"/>
        <v>-2017.34</v>
      </c>
      <c r="M29" s="2"/>
      <c r="N29" s="6">
        <f t="shared" si="19"/>
        <v>-1</v>
      </c>
      <c r="O29" s="11"/>
      <c r="P29" s="7"/>
      <c r="Q29" s="2"/>
      <c r="R29" s="6">
        <f t="shared" si="20"/>
        <v>0</v>
      </c>
      <c r="S29" s="2"/>
      <c r="T29" s="7">
        <v>14121.38</v>
      </c>
      <c r="U29" s="2"/>
      <c r="V29" s="6">
        <f t="shared" si="21"/>
        <v>0</v>
      </c>
      <c r="W29" s="2"/>
      <c r="X29" s="7">
        <f t="shared" si="22"/>
        <v>-14121.38</v>
      </c>
      <c r="Y29" s="2"/>
      <c r="Z29" s="6">
        <f t="shared" si="23"/>
        <v>-1</v>
      </c>
    </row>
    <row r="30" spans="1:26" s="29" customFormat="1" outlineLevel="1" collapsed="1" x14ac:dyDescent="0.3">
      <c r="A30" s="28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223.3</v>
      </c>
      <c r="U30" s="1"/>
      <c r="V30" s="5">
        <f t="shared" si="21"/>
        <v>0</v>
      </c>
      <c r="W30" s="1"/>
      <c r="X30" s="1">
        <f t="shared" si="22"/>
        <v>-223.3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0</v>
      </c>
      <c r="Q31" s="2"/>
      <c r="R31" s="6">
        <f t="shared" si="20"/>
        <v>0</v>
      </c>
      <c r="S31" s="2"/>
      <c r="T31" s="7">
        <v>223.3</v>
      </c>
      <c r="U31" s="2"/>
      <c r="V31" s="6">
        <f t="shared" si="21"/>
        <v>0</v>
      </c>
      <c r="W31" s="2"/>
      <c r="X31" s="7">
        <f t="shared" si="22"/>
        <v>-223.3</v>
      </c>
      <c r="Y31" s="2"/>
      <c r="Z31" s="6">
        <f t="shared" si="23"/>
        <v>-1</v>
      </c>
    </row>
    <row r="32" spans="1:26" s="29" customFormat="1" outlineLevel="1" collapsed="1" x14ac:dyDescent="0.3">
      <c r="A32" s="28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3">
      <c r="A33" s="27"/>
      <c r="B33" s="11" t="str">
        <f>CONCATENATE("          ", "6282", " - ", "JANITORIAL/EXTERMINATOR EXPENS")</f>
        <v xml:space="preserve">          6282 - JANITORIAL/EXTERMINATOR EXPENS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-567.28</v>
      </c>
      <c r="U33" s="2"/>
      <c r="V33" s="6">
        <f t="shared" si="21"/>
        <v>0</v>
      </c>
      <c r="W33" s="2"/>
      <c r="X33" s="7">
        <f t="shared" si="22"/>
        <v>567.28</v>
      </c>
      <c r="Y33" s="2"/>
      <c r="Z33" s="6">
        <f t="shared" si="23"/>
        <v>-1</v>
      </c>
    </row>
    <row r="34" spans="1:26" s="24" customFormat="1" hidden="1" outlineLevel="2" x14ac:dyDescent="0.3">
      <c r="A34" s="27"/>
      <c r="B34" s="11" t="str">
        <f>CONCATENATE("          ", "6285", " - ", "JANITORIAL SERVICES")</f>
        <v xml:space="preserve">          6285 - JANITORIAL SERVICES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-486.24</v>
      </c>
      <c r="U34" s="2"/>
      <c r="V34" s="6">
        <f t="shared" si="21"/>
        <v>0</v>
      </c>
      <c r="W34" s="2"/>
      <c r="X34" s="7">
        <f t="shared" si="22"/>
        <v>486.24</v>
      </c>
      <c r="Y34" s="2"/>
      <c r="Z34" s="6">
        <f t="shared" si="23"/>
        <v>-1</v>
      </c>
    </row>
    <row r="35" spans="1:26" s="29" customFormat="1" outlineLevel="1" collapsed="1" x14ac:dyDescent="0.3">
      <c r="A35" s="28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40" si="24">IF(D$12=0,0,D35/D$12)</f>
        <v>0</v>
      </c>
      <c r="G35" s="1"/>
      <c r="H35" s="1">
        <f>SUM(OSRRefH22_5x_0)</f>
        <v>0</v>
      </c>
      <c r="I35" s="1"/>
      <c r="J35" s="5">
        <f t="shared" ref="J35:J40" si="25">IF(H$12=0,0,H35/H$12)</f>
        <v>0</v>
      </c>
      <c r="K35" s="1"/>
      <c r="L35" s="1">
        <f t="shared" ref="L35:L40" si="26">+D35-H35</f>
        <v>0</v>
      </c>
      <c r="M35" s="1"/>
      <c r="N35" s="5">
        <f t="shared" ref="N35:N40" si="27">IF(H35=0,0,L35/H35)</f>
        <v>0</v>
      </c>
      <c r="O35" s="14"/>
      <c r="P35" s="1">
        <f>SUM(OSRRefP22_5x_0)</f>
        <v>0</v>
      </c>
      <c r="Q35" s="1"/>
      <c r="R35" s="5">
        <f t="shared" ref="R35:R40" si="28">IF(P$12=0,0,P35/P$12)</f>
        <v>0</v>
      </c>
      <c r="S35" s="1"/>
      <c r="T35" s="1">
        <f>SUM(OSRRefT22_5x_0)</f>
        <v>131.30000000000001</v>
      </c>
      <c r="U35" s="1"/>
      <c r="V35" s="5">
        <f t="shared" ref="V35:V40" si="29">IF(T$12=0,0,T35/T$12)</f>
        <v>0</v>
      </c>
      <c r="W35" s="1"/>
      <c r="X35" s="1">
        <f t="shared" ref="X35:X40" si="30">+P35-T35</f>
        <v>-131.30000000000001</v>
      </c>
      <c r="Y35" s="1"/>
      <c r="Z35" s="5">
        <f t="shared" ref="Z35:Z40" si="31">IF(T35=0,0,X35/T35)</f>
        <v>-1</v>
      </c>
    </row>
    <row r="36" spans="1:26" s="24" customFormat="1" hidden="1" outlineLevel="2" x14ac:dyDescent="0.3">
      <c r="A36" s="27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24"/>
        <v>0</v>
      </c>
      <c r="G36" s="2"/>
      <c r="H36" s="7"/>
      <c r="I36" s="2"/>
      <c r="J36" s="6">
        <f t="shared" si="25"/>
        <v>0</v>
      </c>
      <c r="K36" s="2"/>
      <c r="L36" s="7">
        <f t="shared" si="26"/>
        <v>0</v>
      </c>
      <c r="M36" s="2"/>
      <c r="N36" s="6">
        <f t="shared" si="27"/>
        <v>0</v>
      </c>
      <c r="O36" s="11"/>
      <c r="P36" s="7"/>
      <c r="Q36" s="2"/>
      <c r="R36" s="6">
        <f t="shared" si="28"/>
        <v>0</v>
      </c>
      <c r="S36" s="2"/>
      <c r="T36" s="7">
        <v>131.30000000000001</v>
      </c>
      <c r="U36" s="2"/>
      <c r="V36" s="6">
        <f t="shared" si="29"/>
        <v>0</v>
      </c>
      <c r="W36" s="2"/>
      <c r="X36" s="7">
        <f t="shared" si="30"/>
        <v>-131.30000000000001</v>
      </c>
      <c r="Y36" s="2"/>
      <c r="Z36" s="6">
        <f t="shared" si="31"/>
        <v>-1</v>
      </c>
    </row>
    <row r="37" spans="1:26" s="29" customFormat="1" outlineLevel="1" collapsed="1" x14ac:dyDescent="0.3">
      <c r="A37" s="28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0</v>
      </c>
      <c r="I37" s="1"/>
      <c r="J37" s="5">
        <f t="shared" si="25"/>
        <v>0</v>
      </c>
      <c r="K37" s="1"/>
      <c r="L37" s="1">
        <f t="shared" si="26"/>
        <v>0</v>
      </c>
      <c r="M37" s="1"/>
      <c r="N37" s="5">
        <f t="shared" si="27"/>
        <v>0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85.2</v>
      </c>
      <c r="U37" s="1"/>
      <c r="V37" s="5">
        <f t="shared" si="29"/>
        <v>0</v>
      </c>
      <c r="W37" s="1"/>
      <c r="X37" s="1">
        <f t="shared" si="30"/>
        <v>-85.2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"6309", " - ", "TELEPHONE")</f>
        <v xml:space="preserve">          6309 - TELEPHONE</v>
      </c>
      <c r="C38" s="11"/>
      <c r="D38" s="7"/>
      <c r="E38" s="2"/>
      <c r="F38" s="6">
        <f t="shared" si="24"/>
        <v>0</v>
      </c>
      <c r="G38" s="2"/>
      <c r="H38" s="7"/>
      <c r="I38" s="2"/>
      <c r="J38" s="6">
        <f t="shared" si="25"/>
        <v>0</v>
      </c>
      <c r="K38" s="2"/>
      <c r="L38" s="7">
        <f t="shared" si="26"/>
        <v>0</v>
      </c>
      <c r="M38" s="2"/>
      <c r="N38" s="6">
        <f t="shared" si="27"/>
        <v>0</v>
      </c>
      <c r="O38" s="11"/>
      <c r="P38" s="7"/>
      <c r="Q38" s="2"/>
      <c r="R38" s="6">
        <f t="shared" si="28"/>
        <v>0</v>
      </c>
      <c r="S38" s="2"/>
      <c r="T38" s="7">
        <v>85.2</v>
      </c>
      <c r="U38" s="2"/>
      <c r="V38" s="6">
        <f t="shared" si="29"/>
        <v>0</v>
      </c>
      <c r="W38" s="2"/>
      <c r="X38" s="7">
        <f t="shared" si="30"/>
        <v>-85.2</v>
      </c>
      <c r="Y38" s="2"/>
      <c r="Z38" s="6">
        <f t="shared" si="31"/>
        <v>-1</v>
      </c>
    </row>
    <row r="39" spans="1:26" s="29" customFormat="1" outlineLevel="1" collapsed="1" x14ac:dyDescent="0.3">
      <c r="A39" s="28"/>
      <c r="B39" s="14" t="str">
        <f>CONCATENATE("     ","Utilities                                         ")</f>
        <v xml:space="preserve">     Utilities                                         </v>
      </c>
      <c r="C39" s="14"/>
      <c r="D39" s="1">
        <f>SUM(OSRRefD22_7x_0)</f>
        <v>0</v>
      </c>
      <c r="E39" s="1"/>
      <c r="F39" s="5">
        <f t="shared" si="24"/>
        <v>0</v>
      </c>
      <c r="G39" s="1"/>
      <c r="H39" s="1">
        <f>SUM(OSRRefH22_7x_0)</f>
        <v>208</v>
      </c>
      <c r="I39" s="1"/>
      <c r="J39" s="5">
        <f t="shared" si="25"/>
        <v>0</v>
      </c>
      <c r="K39" s="1"/>
      <c r="L39" s="1">
        <f t="shared" si="26"/>
        <v>-208</v>
      </c>
      <c r="M39" s="1"/>
      <c r="N39" s="5">
        <f t="shared" si="27"/>
        <v>-1</v>
      </c>
      <c r="O39" s="14"/>
      <c r="P39" s="1">
        <f>SUM(OSRRefP22_7x_0)</f>
        <v>0</v>
      </c>
      <c r="Q39" s="1"/>
      <c r="R39" s="5">
        <f t="shared" si="28"/>
        <v>0</v>
      </c>
      <c r="S39" s="1"/>
      <c r="T39" s="1">
        <f>SUM(OSRRefT22_7x_0)</f>
        <v>832</v>
      </c>
      <c r="U39" s="1"/>
      <c r="V39" s="5">
        <f t="shared" si="29"/>
        <v>0</v>
      </c>
      <c r="W39" s="1"/>
      <c r="X39" s="1">
        <f t="shared" si="30"/>
        <v>-832</v>
      </c>
      <c r="Y39" s="1"/>
      <c r="Z39" s="5">
        <f t="shared" si="31"/>
        <v>-1</v>
      </c>
    </row>
    <row r="40" spans="1:26" s="24" customFormat="1" hidden="1" outlineLevel="2" x14ac:dyDescent="0.3">
      <c r="A40" s="27"/>
      <c r="B40" s="11" t="str">
        <f>CONCATENATE("          ", "6274", " - ", "UTILITIES")</f>
        <v xml:space="preserve">          6274 - UTILITIES</v>
      </c>
      <c r="C40" s="11"/>
      <c r="D40" s="7"/>
      <c r="E40" s="2"/>
      <c r="F40" s="6">
        <f t="shared" si="24"/>
        <v>0</v>
      </c>
      <c r="G40" s="2"/>
      <c r="H40" s="7">
        <v>208</v>
      </c>
      <c r="I40" s="2"/>
      <c r="J40" s="6">
        <f t="shared" si="25"/>
        <v>0</v>
      </c>
      <c r="K40" s="2"/>
      <c r="L40" s="7">
        <f t="shared" si="26"/>
        <v>-208</v>
      </c>
      <c r="M40" s="2"/>
      <c r="N40" s="6">
        <f t="shared" si="27"/>
        <v>-1</v>
      </c>
      <c r="O40" s="11"/>
      <c r="P40" s="7"/>
      <c r="Q40" s="2"/>
      <c r="R40" s="6">
        <f t="shared" si="28"/>
        <v>0</v>
      </c>
      <c r="S40" s="2"/>
      <c r="T40" s="7">
        <v>832</v>
      </c>
      <c r="U40" s="2"/>
      <c r="V40" s="6">
        <f t="shared" si="29"/>
        <v>0</v>
      </c>
      <c r="W40" s="2"/>
      <c r="X40" s="7">
        <f t="shared" si="30"/>
        <v>-832</v>
      </c>
      <c r="Y40" s="2"/>
      <c r="Z40" s="6">
        <f t="shared" si="31"/>
        <v>-1</v>
      </c>
    </row>
    <row r="41" spans="1:26" s="52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5" t="s">
        <v>276</v>
      </c>
      <c r="C44" s="25"/>
      <c r="D44" s="21">
        <f>+D17-D19+D42</f>
        <v>0</v>
      </c>
      <c r="E44" s="13"/>
      <c r="F44" s="22">
        <f>IF(D$12=0,0,D44/D$12)</f>
        <v>0</v>
      </c>
      <c r="G44" s="13"/>
      <c r="H44" s="21">
        <f>+H17-H19+H42</f>
        <v>-2225.34</v>
      </c>
      <c r="I44" s="13"/>
      <c r="J44" s="22">
        <f>IF(H$12=0,0,H44/H$12)</f>
        <v>0</v>
      </c>
      <c r="K44" s="15"/>
      <c r="L44" s="21">
        <f>+D44-H44</f>
        <v>2225.34</v>
      </c>
      <c r="M44" s="15"/>
      <c r="N44" s="22">
        <f>IF(H44=0,0,L44/H44)</f>
        <v>-1</v>
      </c>
      <c r="O44" s="26"/>
      <c r="P44" s="21">
        <f>+P17-P19+P42</f>
        <v>0</v>
      </c>
      <c r="Q44" s="13"/>
      <c r="R44" s="22">
        <f>IF(P$12=0,0,P44/P$12)</f>
        <v>0</v>
      </c>
      <c r="S44" s="13"/>
      <c r="T44" s="21">
        <f>+T17-T19+T42</f>
        <v>-16793.299999999996</v>
      </c>
      <c r="U44" s="13"/>
      <c r="V44" s="22">
        <f>IF(T$12=0,0,T44/T$12)</f>
        <v>0</v>
      </c>
      <c r="W44" s="15"/>
      <c r="X44" s="21">
        <f>+P44-T44</f>
        <v>16793.299999999996</v>
      </c>
      <c r="Y44" s="15"/>
      <c r="Z44" s="22">
        <f>IF(T44=0,0,X44/T44)</f>
        <v>-1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5" t="s">
        <v>125</v>
      </c>
      <c r="C48" s="25"/>
      <c r="D48" s="36">
        <f>+D44-D46</f>
        <v>0</v>
      </c>
      <c r="E48" s="13"/>
      <c r="F48" s="31">
        <f>IF(D$12=0,0,D48/D$12)</f>
        <v>0</v>
      </c>
      <c r="G48" s="13"/>
      <c r="H48" s="36">
        <f>+H44-H46</f>
        <v>-2225.34</v>
      </c>
      <c r="I48" s="13"/>
      <c r="J48" s="31">
        <f>IF(H$12=0,0,H48/H$12)</f>
        <v>0</v>
      </c>
      <c r="K48" s="15"/>
      <c r="L48" s="36">
        <f>D48-H48</f>
        <v>2225.34</v>
      </c>
      <c r="M48" s="15"/>
      <c r="N48" s="31">
        <f>IF(H48=0,0,L48/H48)</f>
        <v>-1</v>
      </c>
      <c r="O48" s="26"/>
      <c r="P48" s="36">
        <f>+P44-P46</f>
        <v>0</v>
      </c>
      <c r="Q48" s="13"/>
      <c r="R48" s="31">
        <f>IF(P$12=0,0,P48/P$12)</f>
        <v>0</v>
      </c>
      <c r="S48" s="13"/>
      <c r="T48" s="36">
        <f>+T44-T46</f>
        <v>-16793.299999999996</v>
      </c>
      <c r="U48" s="13"/>
      <c r="V48" s="31">
        <f>IF(T$12=0,0,T48/T$12)</f>
        <v>0</v>
      </c>
      <c r="W48" s="15"/>
      <c r="X48" s="36">
        <f>P48-T48</f>
        <v>16793.299999999996</v>
      </c>
      <c r="Y48" s="15"/>
      <c r="Z48" s="31">
        <f>IF(T48=0,0,X48/T48)</f>
        <v>-1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293</v>
      </c>
      <c r="C51" s="25"/>
      <c r="D51" s="35">
        <f>SUM(D48:D50)</f>
        <v>0</v>
      </c>
      <c r="E51" s="13"/>
      <c r="F51" s="32">
        <f>IF(D$12=0,0,D51/D$12)</f>
        <v>0</v>
      </c>
      <c r="G51" s="13"/>
      <c r="H51" s="35">
        <f>SUM(H48:H50)</f>
        <v>-2225.34</v>
      </c>
      <c r="I51" s="13"/>
      <c r="J51" s="32">
        <f>IF(H$12=0,0,H51/H$12)</f>
        <v>0</v>
      </c>
      <c r="K51" s="15"/>
      <c r="L51" s="35">
        <f>+D51-H51</f>
        <v>2225.34</v>
      </c>
      <c r="M51" s="15"/>
      <c r="N51" s="32">
        <f>IF(H51=0,0,L51/H51)</f>
        <v>-1</v>
      </c>
      <c r="O51" s="26"/>
      <c r="P51" s="35">
        <f>SUM(P48:P50)</f>
        <v>0</v>
      </c>
      <c r="Q51" s="13"/>
      <c r="R51" s="32">
        <f>IF(P$12=0,0,P51/P$12)</f>
        <v>0</v>
      </c>
      <c r="S51" s="13"/>
      <c r="T51" s="35">
        <f>SUM(T48:T50)</f>
        <v>-16793.299999999996</v>
      </c>
      <c r="U51" s="13"/>
      <c r="V51" s="32">
        <f>IF(T$12=0,0,T51/T$12)</f>
        <v>0</v>
      </c>
      <c r="W51" s="15"/>
      <c r="X51" s="35">
        <f>+P51-T51</f>
        <v>16793.299999999996</v>
      </c>
      <c r="Y51" s="15"/>
      <c r="Z51" s="32">
        <f>IF(T51=0,0,X51/T51)</f>
        <v>-1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3">
      <c r="A53" s="9"/>
      <c r="B53" s="54">
        <v>44604.028475694446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3">
      <c r="A54" s="9"/>
      <c r="B54" s="53" t="s">
        <v>56</v>
      </c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","325", " - ", "Outpost C-Store")</f>
        <v>Department 325 - Outpost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4833.46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4833.46</v>
      </c>
      <c r="M12" s="4"/>
      <c r="N12" s="12">
        <f t="shared" ref="N12:N14" si="1">IF(H12=0,0,L12/H12)</f>
        <v>0</v>
      </c>
      <c r="O12" s="10"/>
      <c r="P12" s="4">
        <f>SUM(OSRRefP13x_0)</f>
        <v>80542.239999999991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80542.239999999991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803.91</v>
      </c>
      <c r="M13" s="2"/>
      <c r="N13" s="19">
        <f t="shared" si="1"/>
        <v>0</v>
      </c>
      <c r="O13" s="11"/>
      <c r="P13" s="2">
        <f>--13554.56</f>
        <v>13554.56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13554.56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--4029.55</f>
        <v>4029.55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4029.55</v>
      </c>
      <c r="M14" s="2"/>
      <c r="N14" s="19">
        <f t="shared" si="1"/>
        <v>0</v>
      </c>
      <c r="O14" s="11"/>
      <c r="P14" s="2">
        <f>--66987.68</f>
        <v>66987.679999999993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66987.679999999993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2283.37</v>
      </c>
      <c r="E16" s="4"/>
      <c r="F16" s="12">
        <f t="shared" ref="F16:F18" si="6">IF(D$12=0,0,D16/D$12)</f>
        <v>0.47240899893657956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2283.37</v>
      </c>
      <c r="M16" s="4"/>
      <c r="N16" s="12">
        <f t="shared" ref="N16:N18" si="9">IF(H16=0,0,L16/H16)</f>
        <v>0</v>
      </c>
      <c r="O16" s="10"/>
      <c r="P16" s="4">
        <f>SUM(OSRRefP16x_0)</f>
        <v>40110.480000000003</v>
      </c>
      <c r="Q16" s="4"/>
      <c r="R16" s="12">
        <f t="shared" ref="R16:R18" si="10">IF(P$12=0,0,P16/P$12)</f>
        <v>0.49800551859496345</v>
      </c>
      <c r="S16" s="4"/>
      <c r="T16" s="4">
        <f>SUM(OSRRefT16x_0)</f>
        <v>10641.24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29469.240000000005</v>
      </c>
      <c r="Y16" s="4"/>
      <c r="Z16" s="12">
        <f t="shared" ref="Z16:Z18" si="13">IF(T16=0,0,X16/T16)</f>
        <v>2.7693426705910218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238.42</v>
      </c>
      <c r="E17" s="2"/>
      <c r="F17" s="19">
        <f t="shared" si="6"/>
        <v>4.932698315492421E-2</v>
      </c>
      <c r="G17" s="2"/>
      <c r="H17" s="2"/>
      <c r="I17" s="2"/>
      <c r="J17" s="19">
        <f t="shared" si="7"/>
        <v>0</v>
      </c>
      <c r="K17" s="2"/>
      <c r="L17" s="2">
        <f t="shared" si="8"/>
        <v>238.42</v>
      </c>
      <c r="M17" s="2"/>
      <c r="N17" s="19">
        <f t="shared" si="9"/>
        <v>0</v>
      </c>
      <c r="O17" s="11"/>
      <c r="P17" s="2">
        <v>41892.61</v>
      </c>
      <c r="Q17" s="2"/>
      <c r="R17" s="19">
        <f t="shared" si="10"/>
        <v>0.52013216915745086</v>
      </c>
      <c r="S17" s="2"/>
      <c r="T17" s="2">
        <v>-987.76</v>
      </c>
      <c r="U17" s="2"/>
      <c r="V17" s="19">
        <f t="shared" si="11"/>
        <v>0</v>
      </c>
      <c r="W17" s="2"/>
      <c r="X17" s="2">
        <f t="shared" si="12"/>
        <v>42880.37</v>
      </c>
      <c r="Y17" s="2"/>
      <c r="Z17" s="19">
        <f t="shared" si="13"/>
        <v>-43.411729569936021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2044.95</v>
      </c>
      <c r="E18" s="2"/>
      <c r="F18" s="19">
        <f t="shared" si="6"/>
        <v>0.42308201578165539</v>
      </c>
      <c r="G18" s="2"/>
      <c r="H18" s="2"/>
      <c r="I18" s="2"/>
      <c r="J18" s="19">
        <f t="shared" si="7"/>
        <v>0</v>
      </c>
      <c r="K18" s="2"/>
      <c r="L18" s="2">
        <f t="shared" si="8"/>
        <v>2044.95</v>
      </c>
      <c r="M18" s="2"/>
      <c r="N18" s="19">
        <f t="shared" si="9"/>
        <v>0</v>
      </c>
      <c r="O18" s="11"/>
      <c r="P18" s="2">
        <v>-1782.13</v>
      </c>
      <c r="Q18" s="2"/>
      <c r="R18" s="19">
        <f t="shared" si="10"/>
        <v>-2.2126650562487464E-2</v>
      </c>
      <c r="S18" s="2"/>
      <c r="T18" s="2">
        <v>11629</v>
      </c>
      <c r="U18" s="2"/>
      <c r="V18" s="19">
        <f t="shared" si="11"/>
        <v>0</v>
      </c>
      <c r="W18" s="2"/>
      <c r="X18" s="2">
        <f t="shared" si="12"/>
        <v>-13411.130000000001</v>
      </c>
      <c r="Y18" s="2"/>
      <c r="Z18" s="19">
        <f t="shared" si="13"/>
        <v>-1.1532487746151863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2550.09</v>
      </c>
      <c r="E20" s="13"/>
      <c r="F20" s="22">
        <f>IF(D$12=0,0,D20/D$12)</f>
        <v>0.52759100106342038</v>
      </c>
      <c r="G20" s="13"/>
      <c r="H20" s="21">
        <f>H12-H16</f>
        <v>0</v>
      </c>
      <c r="I20" s="13"/>
      <c r="J20" s="22">
        <f>IF(H$12=0,0,H20/H$12)</f>
        <v>0</v>
      </c>
      <c r="K20" s="15"/>
      <c r="L20" s="21">
        <f>+D20-H20</f>
        <v>2550.09</v>
      </c>
      <c r="M20" s="15"/>
      <c r="N20" s="22">
        <f>IF(H20=0,0,L20/H20)</f>
        <v>0</v>
      </c>
      <c r="O20" s="26"/>
      <c r="P20" s="21">
        <f>P12-P16</f>
        <v>40431.759999999987</v>
      </c>
      <c r="Q20" s="13"/>
      <c r="R20" s="22">
        <f>IF(P$12=0,0,P20/P$12)</f>
        <v>0.50199448140503655</v>
      </c>
      <c r="S20" s="13"/>
      <c r="T20" s="21">
        <f>T12-T16</f>
        <v>-10641.24</v>
      </c>
      <c r="U20" s="13"/>
      <c r="V20" s="22">
        <f>IF(T$12=0,0,T20/T$12)</f>
        <v>0</v>
      </c>
      <c r="W20" s="15"/>
      <c r="X20" s="21">
        <f>+P20-T20</f>
        <v>51072.999999999985</v>
      </c>
      <c r="Y20" s="15"/>
      <c r="Z20" s="22">
        <f>IF(T20=0,0,X20/T20)</f>
        <v>-4.7995346406997665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22372.219999999998</v>
      </c>
      <c r="E22" s="20"/>
      <c r="F22" s="30">
        <f t="shared" ref="F22:F31" si="14">IF(D$12=0,0,D22/D$12)</f>
        <v>4.628613870808902</v>
      </c>
      <c r="G22" s="20"/>
      <c r="H22" s="20">
        <f>SUM(OSRRefH22x_0)</f>
        <v>11903.55</v>
      </c>
      <c r="I22" s="20"/>
      <c r="J22" s="30">
        <f t="shared" ref="J22:J31" si="15">IF(H$12=0,0,H22/H$12)</f>
        <v>0</v>
      </c>
      <c r="K22" s="4"/>
      <c r="L22" s="20">
        <f t="shared" ref="L22:L31" si="16">+D22-H22</f>
        <v>10468.669999999998</v>
      </c>
      <c r="M22" s="4"/>
      <c r="N22" s="30">
        <f t="shared" ref="N22:N31" si="17">IF(H22=0,0,L22/H22)</f>
        <v>0.87945780880493629</v>
      </c>
      <c r="O22" s="10"/>
      <c r="P22" s="20">
        <f>SUM(OSRRefP22x_0)</f>
        <v>121954.51000000002</v>
      </c>
      <c r="Q22" s="20"/>
      <c r="R22" s="30">
        <f t="shared" ref="R22:R31" si="18">IF(P$12=0,0,P22/P$12)</f>
        <v>1.5141683419780732</v>
      </c>
      <c r="S22" s="20"/>
      <c r="T22" s="20">
        <f>SUM(OSRRefT22x_0)</f>
        <v>80433.570000000007</v>
      </c>
      <c r="U22" s="20"/>
      <c r="V22" s="30">
        <f t="shared" ref="V22:V31" si="19">IF(T$12=0,0,T22/T$12)</f>
        <v>0</v>
      </c>
      <c r="W22" s="4"/>
      <c r="X22" s="20">
        <f t="shared" ref="X22:X31" si="20">+P22-T22</f>
        <v>41520.940000000017</v>
      </c>
      <c r="Y22" s="4"/>
      <c r="Z22" s="30">
        <f t="shared" ref="Z22:Z31" si="21">IF(T22=0,0,X22/T22)</f>
        <v>0.51621406335687958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3795.8700000000003</v>
      </c>
      <c r="E23" s="1"/>
      <c r="F23" s="5">
        <f t="shared" si="14"/>
        <v>0.78533183268300566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3795.8700000000003</v>
      </c>
      <c r="M23" s="1"/>
      <c r="N23" s="5">
        <f t="shared" si="17"/>
        <v>0</v>
      </c>
      <c r="O23" s="14"/>
      <c r="P23" s="1">
        <f>SUM(OSRRefP22_0x_0)</f>
        <v>5360.19</v>
      </c>
      <c r="Q23" s="1"/>
      <c r="R23" s="5">
        <f t="shared" si="18"/>
        <v>6.6551290353980719E-2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2470.4699999999998</v>
      </c>
      <c r="Y23" s="1"/>
      <c r="Z23" s="5">
        <f t="shared" si="21"/>
        <v>0.85491673933806733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459.27</v>
      </c>
      <c r="E24" s="2"/>
      <c r="F24" s="6">
        <f t="shared" si="14"/>
        <v>9.5018889160146142E-2</v>
      </c>
      <c r="G24" s="2"/>
      <c r="H24" s="7"/>
      <c r="I24" s="2"/>
      <c r="J24" s="6">
        <f t="shared" si="15"/>
        <v>0</v>
      </c>
      <c r="K24" s="2"/>
      <c r="L24" s="7">
        <f t="shared" si="16"/>
        <v>459.27</v>
      </c>
      <c r="M24" s="2"/>
      <c r="N24" s="6">
        <f t="shared" si="17"/>
        <v>0</v>
      </c>
      <c r="O24" s="11"/>
      <c r="P24" s="7">
        <v>1527.46</v>
      </c>
      <c r="Q24" s="2"/>
      <c r="R24" s="6">
        <f t="shared" si="18"/>
        <v>1.896470721450012E-2</v>
      </c>
      <c r="S24" s="2"/>
      <c r="T24" s="7">
        <v>159.12</v>
      </c>
      <c r="U24" s="2"/>
      <c r="V24" s="6">
        <f t="shared" si="19"/>
        <v>0</v>
      </c>
      <c r="W24" s="2"/>
      <c r="X24" s="7">
        <f t="shared" si="20"/>
        <v>1368.3400000000001</v>
      </c>
      <c r="Y24" s="2"/>
      <c r="Z24" s="6">
        <f t="shared" si="21"/>
        <v>8.5994218200100558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200.96</v>
      </c>
      <c r="E25" s="2"/>
      <c r="F25" s="6">
        <f t="shared" si="14"/>
        <v>4.1576841434500342E-2</v>
      </c>
      <c r="G25" s="2"/>
      <c r="H25" s="7"/>
      <c r="I25" s="2"/>
      <c r="J25" s="6">
        <f t="shared" si="15"/>
        <v>0</v>
      </c>
      <c r="K25" s="2"/>
      <c r="L25" s="7">
        <f t="shared" si="16"/>
        <v>200.96</v>
      </c>
      <c r="M25" s="2"/>
      <c r="N25" s="6">
        <f t="shared" si="17"/>
        <v>0</v>
      </c>
      <c r="O25" s="11"/>
      <c r="P25" s="7">
        <v>556.30999999999995</v>
      </c>
      <c r="Q25" s="2"/>
      <c r="R25" s="6">
        <f t="shared" si="18"/>
        <v>6.9070589544070289E-3</v>
      </c>
      <c r="S25" s="2"/>
      <c r="T25" s="7"/>
      <c r="U25" s="2"/>
      <c r="V25" s="6">
        <f t="shared" si="19"/>
        <v>0</v>
      </c>
      <c r="W25" s="2"/>
      <c r="X25" s="7">
        <f t="shared" si="20"/>
        <v>556.30999999999995</v>
      </c>
      <c r="Y25" s="2"/>
      <c r="Z25" s="6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1752.24</v>
      </c>
      <c r="E26" s="2"/>
      <c r="F26" s="6">
        <f t="shared" si="14"/>
        <v>0.36252291319261976</v>
      </c>
      <c r="G26" s="2"/>
      <c r="H26" s="7"/>
      <c r="I26" s="2"/>
      <c r="J26" s="6">
        <f t="shared" si="15"/>
        <v>0</v>
      </c>
      <c r="K26" s="2"/>
      <c r="L26" s="7">
        <f t="shared" si="16"/>
        <v>1752.24</v>
      </c>
      <c r="M26" s="2"/>
      <c r="N26" s="6">
        <f t="shared" si="17"/>
        <v>0</v>
      </c>
      <c r="O26" s="11"/>
      <c r="P26" s="7">
        <v>1752.24</v>
      </c>
      <c r="Q26" s="2"/>
      <c r="R26" s="6">
        <f t="shared" si="18"/>
        <v>2.1755540943485061E-2</v>
      </c>
      <c r="S26" s="2"/>
      <c r="T26" s="7">
        <v>1915.63</v>
      </c>
      <c r="U26" s="2"/>
      <c r="V26" s="6">
        <f t="shared" si="19"/>
        <v>0</v>
      </c>
      <c r="W26" s="2"/>
      <c r="X26" s="7">
        <f t="shared" si="20"/>
        <v>-163.3900000000001</v>
      </c>
      <c r="Y26" s="2"/>
      <c r="Z26" s="6">
        <f t="shared" si="21"/>
        <v>-8.5293088957679772E-2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16.260000000000002</v>
      </c>
      <c r="E27" s="2"/>
      <c r="F27" s="6">
        <f t="shared" si="14"/>
        <v>3.3640497697301729E-3</v>
      </c>
      <c r="G27" s="2"/>
      <c r="H27" s="7"/>
      <c r="I27" s="2"/>
      <c r="J27" s="6">
        <f t="shared" si="15"/>
        <v>0</v>
      </c>
      <c r="K27" s="2"/>
      <c r="L27" s="7">
        <f t="shared" si="16"/>
        <v>16.260000000000002</v>
      </c>
      <c r="M27" s="2"/>
      <c r="N27" s="6">
        <f t="shared" si="17"/>
        <v>0</v>
      </c>
      <c r="O27" s="11"/>
      <c r="P27" s="7">
        <v>77.040000000000006</v>
      </c>
      <c r="Q27" s="2"/>
      <c r="R27" s="6">
        <f t="shared" si="18"/>
        <v>9.5651672960672576E-4</v>
      </c>
      <c r="S27" s="2"/>
      <c r="T27" s="7"/>
      <c r="U27" s="2"/>
      <c r="V27" s="6">
        <f t="shared" si="19"/>
        <v>0</v>
      </c>
      <c r="W27" s="2"/>
      <c r="X27" s="7">
        <f t="shared" si="20"/>
        <v>77.040000000000006</v>
      </c>
      <c r="Y27" s="2"/>
      <c r="Z27" s="6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548.17999999999995</v>
      </c>
      <c r="E28" s="2"/>
      <c r="F28" s="6">
        <f t="shared" si="14"/>
        <v>0.11341357950619224</v>
      </c>
      <c r="G28" s="2"/>
      <c r="H28" s="7"/>
      <c r="I28" s="2"/>
      <c r="J28" s="6">
        <f t="shared" si="15"/>
        <v>0</v>
      </c>
      <c r="K28" s="2"/>
      <c r="L28" s="7">
        <f t="shared" si="16"/>
        <v>548.17999999999995</v>
      </c>
      <c r="M28" s="2"/>
      <c r="N28" s="6">
        <f t="shared" si="17"/>
        <v>0</v>
      </c>
      <c r="O28" s="11"/>
      <c r="P28" s="7">
        <v>548.17999999999995</v>
      </c>
      <c r="Q28" s="2"/>
      <c r="R28" s="6">
        <f t="shared" si="18"/>
        <v>6.8061181313060076E-3</v>
      </c>
      <c r="S28" s="2"/>
      <c r="T28" s="7">
        <v>458.89</v>
      </c>
      <c r="U28" s="2"/>
      <c r="V28" s="6">
        <f t="shared" si="19"/>
        <v>0</v>
      </c>
      <c r="W28" s="2"/>
      <c r="X28" s="7">
        <f t="shared" si="20"/>
        <v>89.289999999999964</v>
      </c>
      <c r="Y28" s="2"/>
      <c r="Z28" s="6">
        <f t="shared" si="21"/>
        <v>0.19457822136023875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>
        <v>368.44</v>
      </c>
      <c r="E29" s="2"/>
      <c r="F29" s="6">
        <f t="shared" si="14"/>
        <v>7.622696784498062E-2</v>
      </c>
      <c r="G29" s="2"/>
      <c r="H29" s="7"/>
      <c r="I29" s="2"/>
      <c r="J29" s="6">
        <f t="shared" si="15"/>
        <v>0</v>
      </c>
      <c r="K29" s="2"/>
      <c r="L29" s="7">
        <f t="shared" si="16"/>
        <v>368.44</v>
      </c>
      <c r="M29" s="2"/>
      <c r="N29" s="6">
        <f t="shared" si="17"/>
        <v>0</v>
      </c>
      <c r="O29" s="11"/>
      <c r="P29" s="7">
        <v>368.44</v>
      </c>
      <c r="Q29" s="2"/>
      <c r="R29" s="6">
        <f t="shared" si="18"/>
        <v>4.5744940791316458E-3</v>
      </c>
      <c r="S29" s="2"/>
      <c r="T29" s="7">
        <v>152.1</v>
      </c>
      <c r="U29" s="2"/>
      <c r="V29" s="6">
        <f t="shared" si="19"/>
        <v>0</v>
      </c>
      <c r="W29" s="2"/>
      <c r="X29" s="7">
        <f t="shared" si="20"/>
        <v>216.34</v>
      </c>
      <c r="Y29" s="2"/>
      <c r="Z29" s="6">
        <f t="shared" si="21"/>
        <v>1.4223537146614071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>
        <v>232.4</v>
      </c>
      <c r="E30" s="2"/>
      <c r="F30" s="6">
        <f t="shared" si="14"/>
        <v>4.8081498553831002E-2</v>
      </c>
      <c r="G30" s="2"/>
      <c r="H30" s="7"/>
      <c r="I30" s="2"/>
      <c r="J30" s="6">
        <f t="shared" si="15"/>
        <v>0</v>
      </c>
      <c r="K30" s="2"/>
      <c r="L30" s="7">
        <f t="shared" si="16"/>
        <v>232.4</v>
      </c>
      <c r="M30" s="2"/>
      <c r="N30" s="6">
        <f t="shared" si="17"/>
        <v>0</v>
      </c>
      <c r="O30" s="11"/>
      <c r="P30" s="7">
        <v>232.4</v>
      </c>
      <c r="Q30" s="2"/>
      <c r="R30" s="6">
        <f t="shared" si="18"/>
        <v>2.8854424709320232E-3</v>
      </c>
      <c r="S30" s="2"/>
      <c r="T30" s="7">
        <v>203.98</v>
      </c>
      <c r="U30" s="2"/>
      <c r="V30" s="6">
        <f t="shared" si="19"/>
        <v>0</v>
      </c>
      <c r="W30" s="2"/>
      <c r="X30" s="7">
        <f t="shared" si="20"/>
        <v>28.420000000000016</v>
      </c>
      <c r="Y30" s="2"/>
      <c r="Z30" s="6">
        <f t="shared" si="21"/>
        <v>0.13932738503774889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7">
        <v>218.12</v>
      </c>
      <c r="E31" s="2"/>
      <c r="F31" s="6">
        <f t="shared" si="14"/>
        <v>4.5127093221005242E-2</v>
      </c>
      <c r="G31" s="2"/>
      <c r="H31" s="7"/>
      <c r="I31" s="2"/>
      <c r="J31" s="6">
        <f t="shared" si="15"/>
        <v>0</v>
      </c>
      <c r="K31" s="2"/>
      <c r="L31" s="7">
        <f t="shared" si="16"/>
        <v>218.12</v>
      </c>
      <c r="M31" s="2"/>
      <c r="N31" s="6">
        <f t="shared" si="17"/>
        <v>0</v>
      </c>
      <c r="O31" s="11"/>
      <c r="P31" s="7">
        <v>298.12</v>
      </c>
      <c r="Q31" s="2"/>
      <c r="R31" s="6">
        <f t="shared" si="18"/>
        <v>3.7014118306121116E-3</v>
      </c>
      <c r="S31" s="2"/>
      <c r="T31" s="7"/>
      <c r="U31" s="2"/>
      <c r="V31" s="6">
        <f t="shared" si="19"/>
        <v>0</v>
      </c>
      <c r="W31" s="2"/>
      <c r="X31" s="7">
        <f t="shared" si="20"/>
        <v>298.12</v>
      </c>
      <c r="Y31" s="2"/>
      <c r="Z31" s="6">
        <f t="shared" si="21"/>
        <v>0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8192.92</v>
      </c>
      <c r="E32" s="1"/>
      <c r="F32" s="5">
        <f t="shared" ref="F32:F35" si="22">IF(D$12=0,0,D32/D$12)</f>
        <v>1.6950424747489377</v>
      </c>
      <c r="G32" s="1"/>
      <c r="H32" s="1">
        <f>SUM(OSRRefH22_1x_0)</f>
        <v>0</v>
      </c>
      <c r="I32" s="1"/>
      <c r="J32" s="5">
        <f t="shared" ref="J32:J35" si="23">IF(H$12=0,0,H32/H$12)</f>
        <v>0</v>
      </c>
      <c r="K32" s="1"/>
      <c r="L32" s="1">
        <f t="shared" ref="L32:L35" si="24">+D32-H32</f>
        <v>8192.92</v>
      </c>
      <c r="M32" s="1"/>
      <c r="N32" s="5">
        <f t="shared" ref="N32:N35" si="25">IF(H32=0,0,L32/H32)</f>
        <v>0</v>
      </c>
      <c r="O32" s="14"/>
      <c r="P32" s="1">
        <f>SUM(OSRRefP22_1x_0)</f>
        <v>30133.61</v>
      </c>
      <c r="Q32" s="1"/>
      <c r="R32" s="5">
        <f t="shared" ref="R32:R35" si="26">IF(P$12=0,0,P32/P$12)</f>
        <v>0.37413424310026644</v>
      </c>
      <c r="S32" s="1"/>
      <c r="T32" s="1">
        <f>SUM(OSRRefT22_1x_0)</f>
        <v>884</v>
      </c>
      <c r="U32" s="1"/>
      <c r="V32" s="5">
        <f t="shared" ref="V32:V35" si="27">IF(T$12=0,0,T32/T$12)</f>
        <v>0</v>
      </c>
      <c r="W32" s="1"/>
      <c r="X32" s="1">
        <f t="shared" ref="X32:X35" si="28">+P32-T32</f>
        <v>29249.61</v>
      </c>
      <c r="Y32" s="1"/>
      <c r="Z32" s="5">
        <f t="shared" ref="Z32:Z35" si="29">IF(T32=0,0,X32/T32)</f>
        <v>33.087794117647057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6046.54</v>
      </c>
      <c r="E33" s="2"/>
      <c r="F33" s="6">
        <f t="shared" si="22"/>
        <v>1.2509754916767699</v>
      </c>
      <c r="G33" s="2"/>
      <c r="H33" s="7"/>
      <c r="I33" s="2"/>
      <c r="J33" s="6">
        <f t="shared" si="23"/>
        <v>0</v>
      </c>
      <c r="K33" s="2"/>
      <c r="L33" s="7">
        <f t="shared" si="24"/>
        <v>6046.54</v>
      </c>
      <c r="M33" s="2"/>
      <c r="N33" s="6">
        <f t="shared" si="25"/>
        <v>0</v>
      </c>
      <c r="O33" s="11"/>
      <c r="P33" s="7">
        <v>6046.54</v>
      </c>
      <c r="Q33" s="2"/>
      <c r="R33" s="6">
        <f t="shared" si="26"/>
        <v>7.5072905844188104E-2</v>
      </c>
      <c r="S33" s="2"/>
      <c r="T33" s="7">
        <v>884</v>
      </c>
      <c r="U33" s="2"/>
      <c r="V33" s="6">
        <f t="shared" si="27"/>
        <v>0</v>
      </c>
      <c r="W33" s="2"/>
      <c r="X33" s="7">
        <f t="shared" si="28"/>
        <v>5162.54</v>
      </c>
      <c r="Y33" s="2"/>
      <c r="Z33" s="6">
        <f t="shared" si="29"/>
        <v>5.8399773755656108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890.08</v>
      </c>
      <c r="E34" s="2"/>
      <c r="F34" s="6">
        <f t="shared" si="22"/>
        <v>0.18414965676761574</v>
      </c>
      <c r="G34" s="2"/>
      <c r="H34" s="7"/>
      <c r="I34" s="2"/>
      <c r="J34" s="6">
        <f t="shared" si="23"/>
        <v>0</v>
      </c>
      <c r="K34" s="2"/>
      <c r="L34" s="7">
        <f t="shared" si="24"/>
        <v>890.08</v>
      </c>
      <c r="M34" s="2"/>
      <c r="N34" s="6">
        <f t="shared" si="25"/>
        <v>0</v>
      </c>
      <c r="O34" s="11"/>
      <c r="P34" s="7">
        <v>14004.73</v>
      </c>
      <c r="Q34" s="2"/>
      <c r="R34" s="6">
        <f t="shared" si="26"/>
        <v>0.17388056254705606</v>
      </c>
      <c r="S34" s="2"/>
      <c r="T34" s="7"/>
      <c r="U34" s="2"/>
      <c r="V34" s="6">
        <f t="shared" si="27"/>
        <v>0</v>
      </c>
      <c r="W34" s="2"/>
      <c r="X34" s="7">
        <f t="shared" si="28"/>
        <v>14004.73</v>
      </c>
      <c r="Y34" s="2"/>
      <c r="Z34" s="6">
        <f t="shared" si="29"/>
        <v>0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>
        <v>1256.3</v>
      </c>
      <c r="E35" s="2"/>
      <c r="F35" s="6">
        <f t="shared" si="22"/>
        <v>0.259917326304552</v>
      </c>
      <c r="G35" s="2"/>
      <c r="H35" s="7"/>
      <c r="I35" s="2"/>
      <c r="J35" s="6">
        <f t="shared" si="23"/>
        <v>0</v>
      </c>
      <c r="K35" s="2"/>
      <c r="L35" s="7">
        <f t="shared" si="24"/>
        <v>1256.3</v>
      </c>
      <c r="M35" s="2"/>
      <c r="N35" s="6">
        <f t="shared" si="25"/>
        <v>0</v>
      </c>
      <c r="O35" s="11"/>
      <c r="P35" s="7">
        <v>10082.34</v>
      </c>
      <c r="Q35" s="2"/>
      <c r="R35" s="6">
        <f t="shared" si="26"/>
        <v>0.12518077470902225</v>
      </c>
      <c r="S35" s="2"/>
      <c r="T35" s="7"/>
      <c r="U35" s="2"/>
      <c r="V35" s="6">
        <f t="shared" si="27"/>
        <v>0</v>
      </c>
      <c r="W35" s="2"/>
      <c r="X35" s="7">
        <f t="shared" si="28"/>
        <v>10082.34</v>
      </c>
      <c r="Y35" s="2"/>
      <c r="Z35" s="6">
        <f t="shared" si="29"/>
        <v>0</v>
      </c>
    </row>
    <row r="36" spans="1:26" s="29" customFormat="1" outlineLevel="1" collapsed="1" x14ac:dyDescent="0.3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30">IF(D$12=0,0,D36/D$12)</f>
        <v>0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0</v>
      </c>
      <c r="M36" s="1"/>
      <c r="N36" s="5">
        <f t="shared" ref="N36:N44" si="33">IF(H36=0,0,L36/H36)</f>
        <v>0</v>
      </c>
      <c r="O36" s="14"/>
      <c r="P36" s="1">
        <f>SUM(OSRRefP22_2x_0)</f>
        <v>91.22</v>
      </c>
      <c r="Q36" s="1"/>
      <c r="R36" s="5">
        <f t="shared" ref="R36:R44" si="34">IF(P$12=0,0,P36/P$12)</f>
        <v>1.1325734173770186E-3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91.22</v>
      </c>
      <c r="Y36" s="1"/>
      <c r="Z36" s="5">
        <f t="shared" ref="Z36:Z44" si="37">IF(T36=0,0,X36/T36)</f>
        <v>0</v>
      </c>
    </row>
    <row r="37" spans="1:26" s="24" customFormat="1" hidden="1" outlineLevel="2" x14ac:dyDescent="0.3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30"/>
        <v>0</v>
      </c>
      <c r="G37" s="2"/>
      <c r="H37" s="7"/>
      <c r="I37" s="2"/>
      <c r="J37" s="6">
        <f t="shared" si="31"/>
        <v>0</v>
      </c>
      <c r="K37" s="2"/>
      <c r="L37" s="7">
        <f t="shared" si="32"/>
        <v>0</v>
      </c>
      <c r="M37" s="2"/>
      <c r="N37" s="6">
        <f t="shared" si="33"/>
        <v>0</v>
      </c>
      <c r="O37" s="11"/>
      <c r="P37" s="7">
        <v>91.22</v>
      </c>
      <c r="Q37" s="2"/>
      <c r="R37" s="6">
        <f t="shared" si="34"/>
        <v>1.1325734173770186E-3</v>
      </c>
      <c r="S37" s="2"/>
      <c r="T37" s="7"/>
      <c r="U37" s="2"/>
      <c r="V37" s="6">
        <f t="shared" si="35"/>
        <v>0</v>
      </c>
      <c r="W37" s="2"/>
      <c r="X37" s="7">
        <f t="shared" si="36"/>
        <v>91.22</v>
      </c>
      <c r="Y37" s="2"/>
      <c r="Z37" s="6">
        <f t="shared" si="37"/>
        <v>0</v>
      </c>
    </row>
    <row r="38" spans="1:26" s="29" customFormat="1" outlineLevel="1" collapsed="1" x14ac:dyDescent="0.3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-19.52</v>
      </c>
      <c r="E38" s="1"/>
      <c r="F38" s="5">
        <f t="shared" si="30"/>
        <v>-4.0385148527142048E-3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-19.52</v>
      </c>
      <c r="M38" s="1"/>
      <c r="N38" s="5">
        <f t="shared" si="33"/>
        <v>0</v>
      </c>
      <c r="O38" s="14"/>
      <c r="P38" s="1">
        <f>SUM(OSRRefP22_3x_0)</f>
        <v>9.32</v>
      </c>
      <c r="Q38" s="1"/>
      <c r="R38" s="5">
        <f t="shared" si="34"/>
        <v>1.1571567912687804E-4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9.32</v>
      </c>
      <c r="Y38" s="1"/>
      <c r="Z38" s="5">
        <f t="shared" si="37"/>
        <v>0</v>
      </c>
    </row>
    <row r="39" spans="1:26" s="24" customFormat="1" hidden="1" outlineLevel="2" x14ac:dyDescent="0.3">
      <c r="A39" s="27"/>
      <c r="B39" s="11" t="str">
        <f>CONCATENATE("          ", "6272", " - ", "CASH (OVER/SHORT)")</f>
        <v xml:space="preserve">          6272 - CASH (OVER/SHORT)</v>
      </c>
      <c r="C39" s="11"/>
      <c r="D39" s="7">
        <v>-19.52</v>
      </c>
      <c r="E39" s="2"/>
      <c r="F39" s="6">
        <f t="shared" si="30"/>
        <v>-4.0385148527142048E-3</v>
      </c>
      <c r="G39" s="2"/>
      <c r="H39" s="7"/>
      <c r="I39" s="2"/>
      <c r="J39" s="6">
        <f t="shared" si="31"/>
        <v>0</v>
      </c>
      <c r="K39" s="2"/>
      <c r="L39" s="7">
        <f t="shared" si="32"/>
        <v>-19.52</v>
      </c>
      <c r="M39" s="2"/>
      <c r="N39" s="6">
        <f t="shared" si="33"/>
        <v>0</v>
      </c>
      <c r="O39" s="11"/>
      <c r="P39" s="7">
        <v>9.32</v>
      </c>
      <c r="Q39" s="2"/>
      <c r="R39" s="6">
        <f t="shared" si="34"/>
        <v>1.1571567912687804E-4</v>
      </c>
      <c r="S39" s="2"/>
      <c r="T39" s="7"/>
      <c r="U39" s="2"/>
      <c r="V39" s="6">
        <f t="shared" si="35"/>
        <v>0</v>
      </c>
      <c r="W39" s="2"/>
      <c r="X39" s="7">
        <f t="shared" si="36"/>
        <v>9.32</v>
      </c>
      <c r="Y39" s="2"/>
      <c r="Z39" s="6">
        <f t="shared" si="37"/>
        <v>0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144.09</v>
      </c>
      <c r="E40" s="1"/>
      <c r="F40" s="5">
        <f t="shared" si="30"/>
        <v>2.9810942885634722E-2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144.09</v>
      </c>
      <c r="M40" s="1"/>
      <c r="N40" s="5">
        <f t="shared" si="33"/>
        <v>0</v>
      </c>
      <c r="O40" s="14"/>
      <c r="P40" s="1">
        <f>SUM(OSRRefP22_4x_0)</f>
        <v>3322.07</v>
      </c>
      <c r="Q40" s="1"/>
      <c r="R40" s="5">
        <f t="shared" si="34"/>
        <v>4.1246307527578081E-2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3322.07</v>
      </c>
      <c r="Y40" s="1"/>
      <c r="Z40" s="5">
        <f t="shared" si="37"/>
        <v>0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144.09</v>
      </c>
      <c r="E41" s="2"/>
      <c r="F41" s="6">
        <f t="shared" si="30"/>
        <v>2.9810942885634722E-2</v>
      </c>
      <c r="G41" s="2"/>
      <c r="H41" s="7"/>
      <c r="I41" s="2"/>
      <c r="J41" s="6">
        <f t="shared" si="31"/>
        <v>0</v>
      </c>
      <c r="K41" s="2"/>
      <c r="L41" s="7">
        <f t="shared" si="32"/>
        <v>144.09</v>
      </c>
      <c r="M41" s="2"/>
      <c r="N41" s="6">
        <f t="shared" si="33"/>
        <v>0</v>
      </c>
      <c r="O41" s="11"/>
      <c r="P41" s="7">
        <v>3322.07</v>
      </c>
      <c r="Q41" s="2"/>
      <c r="R41" s="6">
        <f t="shared" si="34"/>
        <v>4.1246307527578081E-2</v>
      </c>
      <c r="S41" s="2"/>
      <c r="T41" s="7"/>
      <c r="U41" s="2"/>
      <c r="V41" s="6">
        <f t="shared" si="35"/>
        <v>0</v>
      </c>
      <c r="W41" s="2"/>
      <c r="X41" s="7">
        <f t="shared" si="36"/>
        <v>3322.07</v>
      </c>
      <c r="Y41" s="2"/>
      <c r="Z41" s="6">
        <f t="shared" si="37"/>
        <v>0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5471.21</v>
      </c>
      <c r="E42" s="1"/>
      <c r="F42" s="5">
        <f t="shared" si="30"/>
        <v>1.1319448179978731</v>
      </c>
      <c r="G42" s="1"/>
      <c r="H42" s="1">
        <f>SUM(OSRRefH22_5x_0)</f>
        <v>5471.21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SUM(OSRRefP22_5x_0)</f>
        <v>38298.47</v>
      </c>
      <c r="Q42" s="1"/>
      <c r="R42" s="5">
        <f t="shared" si="34"/>
        <v>0.47550788257192755</v>
      </c>
      <c r="S42" s="1"/>
      <c r="T42" s="1">
        <f>SUM(OSRRefT22_5x_0)</f>
        <v>38743.97</v>
      </c>
      <c r="U42" s="1"/>
      <c r="V42" s="5">
        <f t="shared" si="35"/>
        <v>0</v>
      </c>
      <c r="W42" s="1"/>
      <c r="X42" s="1">
        <f t="shared" si="36"/>
        <v>-445.5</v>
      </c>
      <c r="Y42" s="1"/>
      <c r="Z42" s="5">
        <f t="shared" si="37"/>
        <v>-1.1498563518400411E-2</v>
      </c>
    </row>
    <row r="43" spans="1:26" s="24" customFormat="1" hidden="1" outlineLevel="2" x14ac:dyDescent="0.3">
      <c r="A43" s="27"/>
      <c r="B43" s="11" t="str">
        <f>CONCATENATE("          ", "6321", " - ", "BUILDING DEPRECIATION")</f>
        <v xml:space="preserve">          6321 - BUILDING DEPRECIATION</v>
      </c>
      <c r="C43" s="11"/>
      <c r="D43" s="7">
        <v>5080.51</v>
      </c>
      <c r="E43" s="2"/>
      <c r="F43" s="6">
        <f t="shared" si="30"/>
        <v>1.0511124536046641</v>
      </c>
      <c r="G43" s="2"/>
      <c r="H43" s="7">
        <v>5080.51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>
        <v>35563.57</v>
      </c>
      <c r="Q43" s="2"/>
      <c r="R43" s="6">
        <f t="shared" si="34"/>
        <v>0.44155178698779673</v>
      </c>
      <c r="S43" s="2"/>
      <c r="T43" s="7">
        <v>35563.57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390.7</v>
      </c>
      <c r="E44" s="2"/>
      <c r="F44" s="6">
        <f t="shared" si="30"/>
        <v>8.0832364393208997E-2</v>
      </c>
      <c r="G44" s="2"/>
      <c r="H44" s="7">
        <v>390.7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2734.9</v>
      </c>
      <c r="Q44" s="2"/>
      <c r="R44" s="6">
        <f t="shared" si="34"/>
        <v>3.395609558413077E-2</v>
      </c>
      <c r="S44" s="2"/>
      <c r="T44" s="7">
        <v>3180.4</v>
      </c>
      <c r="U44" s="2"/>
      <c r="V44" s="6">
        <f t="shared" si="35"/>
        <v>0</v>
      </c>
      <c r="W44" s="2"/>
      <c r="X44" s="7">
        <f t="shared" si="36"/>
        <v>-445.5</v>
      </c>
      <c r="Y44" s="2"/>
      <c r="Z44" s="6">
        <f t="shared" si="37"/>
        <v>-0.14007671990944534</v>
      </c>
    </row>
    <row r="45" spans="1:26" s="29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SUM(OSRRefD22_6x_0)</f>
        <v>0</v>
      </c>
      <c r="E45" s="1"/>
      <c r="F45" s="5">
        <f t="shared" ref="F45:F55" si="38">IF(D$12=0,0,D45/D$12)</f>
        <v>0</v>
      </c>
      <c r="G45" s="1"/>
      <c r="H45" s="1">
        <f>SUM(OSRRefH22_6x_0)</f>
        <v>176.4</v>
      </c>
      <c r="I45" s="1"/>
      <c r="J45" s="5">
        <f t="shared" ref="J45:J55" si="39">IF(H$12=0,0,H45/H$12)</f>
        <v>0</v>
      </c>
      <c r="K45" s="1"/>
      <c r="L45" s="1">
        <f t="shared" ref="L45:L55" si="40">+D45-H45</f>
        <v>-176.4</v>
      </c>
      <c r="M45" s="1"/>
      <c r="N45" s="5">
        <f t="shared" ref="N45:N55" si="41">IF(H45=0,0,L45/H45)</f>
        <v>-1</v>
      </c>
      <c r="O45" s="14"/>
      <c r="P45" s="1">
        <f>SUM(OSRRefP22_6x_0)</f>
        <v>0</v>
      </c>
      <c r="Q45" s="1"/>
      <c r="R45" s="5">
        <f t="shared" ref="R45:R55" si="42">IF(P$12=0,0,P45/P$12)</f>
        <v>0</v>
      </c>
      <c r="S45" s="1"/>
      <c r="T45" s="1">
        <f>SUM(OSRRefT22_6x_0)</f>
        <v>252.55</v>
      </c>
      <c r="U45" s="1"/>
      <c r="V45" s="5">
        <f t="shared" ref="V45:V55" si="43">IF(T$12=0,0,T45/T$12)</f>
        <v>0</v>
      </c>
      <c r="W45" s="1"/>
      <c r="X45" s="1">
        <f t="shared" ref="X45:X55" si="44">+P45-T45</f>
        <v>-252.55</v>
      </c>
      <c r="Y45" s="1"/>
      <c r="Z45" s="5">
        <f t="shared" ref="Z45:Z55" si="45">IF(T45=0,0,X45/T45)</f>
        <v>-1</v>
      </c>
    </row>
    <row r="46" spans="1:26" s="24" customFormat="1" hidden="1" outlineLevel="2" x14ac:dyDescent="0.3">
      <c r="A46" s="27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38"/>
        <v>0</v>
      </c>
      <c r="G46" s="2"/>
      <c r="H46" s="7">
        <v>176.4</v>
      </c>
      <c r="I46" s="2"/>
      <c r="J46" s="6">
        <f t="shared" si="39"/>
        <v>0</v>
      </c>
      <c r="K46" s="2"/>
      <c r="L46" s="7">
        <f t="shared" si="40"/>
        <v>-176.4</v>
      </c>
      <c r="M46" s="2"/>
      <c r="N46" s="6">
        <f t="shared" si="41"/>
        <v>-1</v>
      </c>
      <c r="O46" s="11"/>
      <c r="P46" s="7"/>
      <c r="Q46" s="2"/>
      <c r="R46" s="6">
        <f t="shared" si="42"/>
        <v>0</v>
      </c>
      <c r="S46" s="2"/>
      <c r="T46" s="7">
        <v>252.55</v>
      </c>
      <c r="U46" s="2"/>
      <c r="V46" s="6">
        <f t="shared" si="43"/>
        <v>0</v>
      </c>
      <c r="W46" s="2"/>
      <c r="X46" s="7">
        <f t="shared" si="44"/>
        <v>-252.55</v>
      </c>
      <c r="Y46" s="2"/>
      <c r="Z46" s="6">
        <f t="shared" si="45"/>
        <v>-1</v>
      </c>
    </row>
    <row r="47" spans="1:26" s="29" customFormat="1" outlineLevel="1" collapsed="1" x14ac:dyDescent="0.3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0</v>
      </c>
      <c r="E47" s="1"/>
      <c r="F47" s="5">
        <f t="shared" si="38"/>
        <v>0</v>
      </c>
      <c r="G47" s="1"/>
      <c r="H47" s="1">
        <f>SUM(OSRRefH22_7x_0)</f>
        <v>0</v>
      </c>
      <c r="I47" s="1"/>
      <c r="J47" s="5">
        <f t="shared" si="39"/>
        <v>0</v>
      </c>
      <c r="K47" s="1"/>
      <c r="L47" s="1">
        <f t="shared" si="40"/>
        <v>0</v>
      </c>
      <c r="M47" s="1"/>
      <c r="N47" s="5">
        <f t="shared" si="41"/>
        <v>0</v>
      </c>
      <c r="O47" s="14"/>
      <c r="P47" s="1">
        <f>SUM(OSRRefP22_7x_0)</f>
        <v>1002.45</v>
      </c>
      <c r="Q47" s="1"/>
      <c r="R47" s="5">
        <f t="shared" si="42"/>
        <v>1.2446264221109324E-2</v>
      </c>
      <c r="S47" s="1"/>
      <c r="T47" s="1">
        <f>SUM(OSRRefT22_7x_0)</f>
        <v>914.55</v>
      </c>
      <c r="U47" s="1"/>
      <c r="V47" s="5">
        <f t="shared" si="43"/>
        <v>0</v>
      </c>
      <c r="W47" s="1"/>
      <c r="X47" s="1">
        <f t="shared" si="44"/>
        <v>87.900000000000091</v>
      </c>
      <c r="Y47" s="1"/>
      <c r="Z47" s="5">
        <f t="shared" si="45"/>
        <v>9.6112842381499197E-2</v>
      </c>
    </row>
    <row r="48" spans="1:26" s="24" customFormat="1" hidden="1" outlineLevel="2" x14ac:dyDescent="0.3">
      <c r="A48" s="27"/>
      <c r="B48" s="11" t="str">
        <f>CONCATENATE("          ", "6279", " - ", "GENERAL EXPENSE")</f>
        <v xml:space="preserve">          6279 - GENERAL EXPENSE</v>
      </c>
      <c r="C48" s="11"/>
      <c r="D48" s="7"/>
      <c r="E48" s="2"/>
      <c r="F48" s="6">
        <f t="shared" si="38"/>
        <v>0</v>
      </c>
      <c r="G48" s="2"/>
      <c r="H48" s="7"/>
      <c r="I48" s="2"/>
      <c r="J48" s="6">
        <f t="shared" si="39"/>
        <v>0</v>
      </c>
      <c r="K48" s="2"/>
      <c r="L48" s="7">
        <f t="shared" si="40"/>
        <v>0</v>
      </c>
      <c r="M48" s="2"/>
      <c r="N48" s="6">
        <f t="shared" si="41"/>
        <v>0</v>
      </c>
      <c r="O48" s="11"/>
      <c r="P48" s="7">
        <v>1002.45</v>
      </c>
      <c r="Q48" s="2"/>
      <c r="R48" s="6">
        <f t="shared" si="42"/>
        <v>1.2446264221109324E-2</v>
      </c>
      <c r="S48" s="2"/>
      <c r="T48" s="7">
        <v>914.55</v>
      </c>
      <c r="U48" s="2"/>
      <c r="V48" s="6">
        <f t="shared" si="43"/>
        <v>0</v>
      </c>
      <c r="W48" s="2"/>
      <c r="X48" s="7">
        <f t="shared" si="44"/>
        <v>87.900000000000091</v>
      </c>
      <c r="Y48" s="2"/>
      <c r="Z48" s="6">
        <f t="shared" si="45"/>
        <v>9.6112842381499197E-2</v>
      </c>
    </row>
    <row r="49" spans="1:26" s="29" customFormat="1" outlineLevel="1" collapsed="1" x14ac:dyDescent="0.3">
      <c r="A49" s="28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SUM(OSRRefD22_8x_0)</f>
        <v>331.01</v>
      </c>
      <c r="E49" s="1"/>
      <c r="F49" s="5">
        <f t="shared" si="38"/>
        <v>6.8483032858449228E-2</v>
      </c>
      <c r="G49" s="1"/>
      <c r="H49" s="1">
        <f>SUM(OSRRefH22_8x_0)</f>
        <v>243.54</v>
      </c>
      <c r="I49" s="1"/>
      <c r="J49" s="5">
        <f t="shared" si="39"/>
        <v>0</v>
      </c>
      <c r="K49" s="1"/>
      <c r="L49" s="1">
        <f t="shared" si="40"/>
        <v>87.47</v>
      </c>
      <c r="M49" s="1"/>
      <c r="N49" s="5">
        <f t="shared" si="41"/>
        <v>0.35916071281924944</v>
      </c>
      <c r="O49" s="14"/>
      <c r="P49" s="1">
        <f>SUM(OSRRefP22_8x_0)</f>
        <v>2317.0700000000002</v>
      </c>
      <c r="Q49" s="1"/>
      <c r="R49" s="5">
        <f t="shared" si="42"/>
        <v>2.8768382900699066E-2</v>
      </c>
      <c r="S49" s="1"/>
      <c r="T49" s="1">
        <f>SUM(OSRRefT22_8x_0)</f>
        <v>1704.78</v>
      </c>
      <c r="U49" s="1"/>
      <c r="V49" s="5">
        <f t="shared" si="43"/>
        <v>0</v>
      </c>
      <c r="W49" s="1"/>
      <c r="X49" s="1">
        <f t="shared" si="44"/>
        <v>612.29000000000019</v>
      </c>
      <c r="Y49" s="1"/>
      <c r="Z49" s="5">
        <f t="shared" si="45"/>
        <v>0.35916071281924955</v>
      </c>
    </row>
    <row r="50" spans="1:26" s="24" customFormat="1" hidden="1" outlineLevel="2" x14ac:dyDescent="0.3">
      <c r="A50" s="27"/>
      <c r="B50" s="11" t="str">
        <f>CONCATENATE("          ", "6314", " - ", "LIABILITY INSURANCE")</f>
        <v xml:space="preserve">          6314 - LIABILITY INSURANCE</v>
      </c>
      <c r="C50" s="11"/>
      <c r="D50" s="7">
        <v>331.01</v>
      </c>
      <c r="E50" s="2"/>
      <c r="F50" s="6">
        <f t="shared" si="38"/>
        <v>6.8483032858449228E-2</v>
      </c>
      <c r="G50" s="2"/>
      <c r="H50" s="7">
        <v>243.54</v>
      </c>
      <c r="I50" s="2"/>
      <c r="J50" s="6">
        <f t="shared" si="39"/>
        <v>0</v>
      </c>
      <c r="K50" s="2"/>
      <c r="L50" s="7">
        <f t="shared" si="40"/>
        <v>87.47</v>
      </c>
      <c r="M50" s="2"/>
      <c r="N50" s="6">
        <f t="shared" si="41"/>
        <v>0.35916071281924944</v>
      </c>
      <c r="O50" s="11"/>
      <c r="P50" s="7">
        <v>2317.0700000000002</v>
      </c>
      <c r="Q50" s="2"/>
      <c r="R50" s="6">
        <f t="shared" si="42"/>
        <v>2.8768382900699066E-2</v>
      </c>
      <c r="S50" s="2"/>
      <c r="T50" s="7">
        <v>1704.78</v>
      </c>
      <c r="U50" s="2"/>
      <c r="V50" s="6">
        <f t="shared" si="43"/>
        <v>0</v>
      </c>
      <c r="W50" s="2"/>
      <c r="X50" s="7">
        <f t="shared" si="44"/>
        <v>612.29000000000019</v>
      </c>
      <c r="Y50" s="2"/>
      <c r="Z50" s="6">
        <f t="shared" si="45"/>
        <v>0.35916071281924955</v>
      </c>
    </row>
    <row r="51" spans="1:26" s="29" customFormat="1" outlineLevel="1" collapsed="1" x14ac:dyDescent="0.3">
      <c r="A51" s="28"/>
      <c r="B51" s="14" t="str">
        <f>CONCATENATE("     ","Interest                                          ")</f>
        <v xml:space="preserve">     Interest                                          </v>
      </c>
      <c r="C51" s="14"/>
      <c r="D51" s="1">
        <f>SUM(OSRRefD22_9x_0)</f>
        <v>3905</v>
      </c>
      <c r="E51" s="1"/>
      <c r="F51" s="5">
        <f t="shared" si="38"/>
        <v>0.8079098616725906</v>
      </c>
      <c r="G51" s="1"/>
      <c r="H51" s="1">
        <f>SUM(OSRRefH22_9x_0)</f>
        <v>4044</v>
      </c>
      <c r="I51" s="1"/>
      <c r="J51" s="5">
        <f t="shared" si="39"/>
        <v>0</v>
      </c>
      <c r="K51" s="1"/>
      <c r="L51" s="1">
        <f t="shared" si="40"/>
        <v>-139</v>
      </c>
      <c r="M51" s="1"/>
      <c r="N51" s="5">
        <f t="shared" si="41"/>
        <v>-3.4371909000989118E-2</v>
      </c>
      <c r="O51" s="14"/>
      <c r="P51" s="1">
        <f>SUM(OSRRefP22_9x_0)</f>
        <v>27059</v>
      </c>
      <c r="Q51" s="1"/>
      <c r="R51" s="5">
        <f t="shared" si="42"/>
        <v>0.33596036067534257</v>
      </c>
      <c r="S51" s="1"/>
      <c r="T51" s="1">
        <f>SUM(OSRRefT22_9x_0)</f>
        <v>28045.85</v>
      </c>
      <c r="U51" s="1"/>
      <c r="V51" s="5">
        <f t="shared" si="43"/>
        <v>0</v>
      </c>
      <c r="W51" s="1"/>
      <c r="X51" s="1">
        <f t="shared" si="44"/>
        <v>-986.84999999999854</v>
      </c>
      <c r="Y51" s="1"/>
      <c r="Z51" s="5">
        <f t="shared" si="45"/>
        <v>-3.5187024105170592E-2</v>
      </c>
    </row>
    <row r="52" spans="1:26" s="24" customFormat="1" hidden="1" outlineLevel="2" x14ac:dyDescent="0.3">
      <c r="A52" s="27"/>
      <c r="B52" s="11" t="str">
        <f>CONCATENATE("          ", "6401", " - ", "INTEREST EXPENSE")</f>
        <v xml:space="preserve">          6401 - INTEREST EXPENSE</v>
      </c>
      <c r="C52" s="11"/>
      <c r="D52" s="7">
        <v>3905</v>
      </c>
      <c r="E52" s="2"/>
      <c r="F52" s="6">
        <f t="shared" si="38"/>
        <v>0.8079098616725906</v>
      </c>
      <c r="G52" s="2"/>
      <c r="H52" s="7">
        <v>4044</v>
      </c>
      <c r="I52" s="2"/>
      <c r="J52" s="6">
        <f t="shared" si="39"/>
        <v>0</v>
      </c>
      <c r="K52" s="2"/>
      <c r="L52" s="7">
        <f t="shared" si="40"/>
        <v>-139</v>
      </c>
      <c r="M52" s="2"/>
      <c r="N52" s="6">
        <f t="shared" si="41"/>
        <v>-3.4371909000989118E-2</v>
      </c>
      <c r="O52" s="11"/>
      <c r="P52" s="7">
        <v>27059</v>
      </c>
      <c r="Q52" s="2"/>
      <c r="R52" s="6">
        <f t="shared" si="42"/>
        <v>0.33596036067534257</v>
      </c>
      <c r="S52" s="2"/>
      <c r="T52" s="7">
        <v>28045.85</v>
      </c>
      <c r="U52" s="2"/>
      <c r="V52" s="6">
        <f t="shared" si="43"/>
        <v>0</v>
      </c>
      <c r="W52" s="2"/>
      <c r="X52" s="7">
        <f t="shared" si="44"/>
        <v>-986.84999999999854</v>
      </c>
      <c r="Y52" s="2"/>
      <c r="Z52" s="6">
        <f t="shared" si="45"/>
        <v>-3.5187024105170592E-2</v>
      </c>
    </row>
    <row r="53" spans="1:26" s="29" customFormat="1" outlineLevel="1" collapsed="1" x14ac:dyDescent="0.3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SUM(OSRRefD22_10x_0)</f>
        <v>0</v>
      </c>
      <c r="E53" s="1"/>
      <c r="F53" s="5">
        <f t="shared" si="38"/>
        <v>0</v>
      </c>
      <c r="G53" s="1"/>
      <c r="H53" s="1">
        <f>SUM(OSRRefH22_10x_0)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SUM(OSRRefP22_10x_0)</f>
        <v>2782.59</v>
      </c>
      <c r="Q53" s="1"/>
      <c r="R53" s="5">
        <f t="shared" si="42"/>
        <v>3.4548207251251024E-2</v>
      </c>
      <c r="S53" s="1"/>
      <c r="T53" s="1">
        <f>SUM(OSRRefT22_10x_0)</f>
        <v>295.64</v>
      </c>
      <c r="U53" s="1"/>
      <c r="V53" s="5">
        <f t="shared" si="43"/>
        <v>0</v>
      </c>
      <c r="W53" s="1"/>
      <c r="X53" s="1">
        <f t="shared" si="44"/>
        <v>2486.9500000000003</v>
      </c>
      <c r="Y53" s="1"/>
      <c r="Z53" s="5">
        <f t="shared" si="45"/>
        <v>8.412089027195238</v>
      </c>
    </row>
    <row r="54" spans="1:26" s="24" customFormat="1" hidden="1" outlineLevel="2" x14ac:dyDescent="0.3">
      <c r="A54" s="27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621.34</v>
      </c>
      <c r="Q54" s="2"/>
      <c r="R54" s="6">
        <f t="shared" si="42"/>
        <v>7.7144613807612018E-3</v>
      </c>
      <c r="S54" s="2"/>
      <c r="T54" s="7">
        <v>295.64</v>
      </c>
      <c r="U54" s="2"/>
      <c r="V54" s="6">
        <f t="shared" si="43"/>
        <v>0</v>
      </c>
      <c r="W54" s="2"/>
      <c r="X54" s="7">
        <f t="shared" si="44"/>
        <v>325.70000000000005</v>
      </c>
      <c r="Y54" s="2"/>
      <c r="Z54" s="6">
        <f t="shared" si="45"/>
        <v>1.101677716141253</v>
      </c>
    </row>
    <row r="55" spans="1:26" s="24" customFormat="1" hidden="1" outlineLevel="2" x14ac:dyDescent="0.3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2161.25</v>
      </c>
      <c r="Q55" s="2"/>
      <c r="R55" s="6">
        <f t="shared" si="42"/>
        <v>2.6833745870489822E-2</v>
      </c>
      <c r="S55" s="2"/>
      <c r="T55" s="7"/>
      <c r="U55" s="2"/>
      <c r="V55" s="6">
        <f t="shared" si="43"/>
        <v>0</v>
      </c>
      <c r="W55" s="2"/>
      <c r="X55" s="7">
        <f t="shared" si="44"/>
        <v>2161.25</v>
      </c>
      <c r="Y55" s="2"/>
      <c r="Z55" s="6">
        <f t="shared" si="45"/>
        <v>0</v>
      </c>
    </row>
    <row r="56" spans="1:26" s="29" customFormat="1" outlineLevel="1" collapsed="1" x14ac:dyDescent="0.3">
      <c r="A56" s="28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SUM(OSRRefD22_11x_0)</f>
        <v>114.16</v>
      </c>
      <c r="E56" s="1"/>
      <c r="F56" s="5">
        <f t="shared" ref="F56:F60" si="46">IF(D$12=0,0,D56/D$12)</f>
        <v>2.3618691372226105E-2</v>
      </c>
      <c r="G56" s="1"/>
      <c r="H56" s="1">
        <f>SUM(OSRRefH22_11x_0)</f>
        <v>918.4</v>
      </c>
      <c r="I56" s="1"/>
      <c r="J56" s="5">
        <f t="shared" ref="J56:J60" si="47">IF(H$12=0,0,H56/H$12)</f>
        <v>0</v>
      </c>
      <c r="K56" s="1"/>
      <c r="L56" s="1">
        <f t="shared" ref="L56:L60" si="48">+D56-H56</f>
        <v>-804.24</v>
      </c>
      <c r="M56" s="1"/>
      <c r="N56" s="5">
        <f t="shared" ref="N56:N60" si="49">IF(H56=0,0,L56/H56)</f>
        <v>-0.87569686411149827</v>
      </c>
      <c r="O56" s="14"/>
      <c r="P56" s="1">
        <f>SUM(OSRRefP22_11x_0)</f>
        <v>8779.880000000001</v>
      </c>
      <c r="Q56" s="1"/>
      <c r="R56" s="5">
        <f t="shared" ref="R56:R60" si="50">IF(P$12=0,0,P56/P$12)</f>
        <v>0.10900963270949507</v>
      </c>
      <c r="S56" s="1"/>
      <c r="T56" s="1">
        <f>SUM(OSRRefT22_11x_0)</f>
        <v>1496.4</v>
      </c>
      <c r="U56" s="1"/>
      <c r="V56" s="5">
        <f t="shared" ref="V56:V60" si="51">IF(T$12=0,0,T56/T$12)</f>
        <v>0</v>
      </c>
      <c r="W56" s="1"/>
      <c r="X56" s="1">
        <f t="shared" ref="X56:X60" si="52">+P56-T56</f>
        <v>7283.4800000000014</v>
      </c>
      <c r="Y56" s="1"/>
      <c r="Z56" s="5">
        <f t="shared" ref="Z56:Z60" si="53">IF(T56=0,0,X56/T56)</f>
        <v>4.867334937182572</v>
      </c>
    </row>
    <row r="57" spans="1:26" s="24" customFormat="1" hidden="1" outlineLevel="2" x14ac:dyDescent="0.3">
      <c r="A57" s="27"/>
      <c r="B57" s="11" t="str">
        <f>CONCATENATE("          ", "6282", " - ", "JANITORIAL/EXTERMINATOR EXPENS")</f>
        <v xml:space="preserve">          6282 - JANITORIAL/EXTERMINATOR EXPENS</v>
      </c>
      <c r="C57" s="11"/>
      <c r="D57" s="7"/>
      <c r="E57" s="2"/>
      <c r="F57" s="6">
        <f t="shared" si="46"/>
        <v>0</v>
      </c>
      <c r="G57" s="2"/>
      <c r="H57" s="7">
        <v>629.4</v>
      </c>
      <c r="I57" s="2"/>
      <c r="J57" s="6">
        <f t="shared" si="47"/>
        <v>0</v>
      </c>
      <c r="K57" s="2"/>
      <c r="L57" s="7">
        <f t="shared" si="48"/>
        <v>-629.4</v>
      </c>
      <c r="M57" s="2"/>
      <c r="N57" s="6">
        <f t="shared" si="49"/>
        <v>-1</v>
      </c>
      <c r="O57" s="11"/>
      <c r="P57" s="7">
        <v>1010.4</v>
      </c>
      <c r="Q57" s="2"/>
      <c r="R57" s="6">
        <f t="shared" si="50"/>
        <v>1.2544970192038365E-2</v>
      </c>
      <c r="S57" s="2"/>
      <c r="T57" s="7">
        <v>629.4</v>
      </c>
      <c r="U57" s="2"/>
      <c r="V57" s="6">
        <f t="shared" si="51"/>
        <v>0</v>
      </c>
      <c r="W57" s="2"/>
      <c r="X57" s="7">
        <f t="shared" si="52"/>
        <v>381</v>
      </c>
      <c r="Y57" s="2"/>
      <c r="Z57" s="6">
        <f t="shared" si="53"/>
        <v>0.60533841754051476</v>
      </c>
    </row>
    <row r="58" spans="1:26" s="24" customFormat="1" hidden="1" outlineLevel="2" x14ac:dyDescent="0.3">
      <c r="A58" s="27"/>
      <c r="B58" s="11" t="str">
        <f>CONCATENATE("          ", "6284", " - ", "TRASH REMOVAL EXPENSE")</f>
        <v xml:space="preserve">          6284 - TRASH REMOVAL EXPENSE</v>
      </c>
      <c r="C58" s="11"/>
      <c r="D58" s="7"/>
      <c r="E58" s="2"/>
      <c r="F58" s="6">
        <f t="shared" si="46"/>
        <v>0</v>
      </c>
      <c r="G58" s="2"/>
      <c r="H58" s="7">
        <v>289</v>
      </c>
      <c r="I58" s="2"/>
      <c r="J58" s="6">
        <f t="shared" si="47"/>
        <v>0</v>
      </c>
      <c r="K58" s="2"/>
      <c r="L58" s="7">
        <f t="shared" si="48"/>
        <v>-289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867</v>
      </c>
      <c r="U58" s="2"/>
      <c r="V58" s="6">
        <f t="shared" si="51"/>
        <v>0</v>
      </c>
      <c r="W58" s="2"/>
      <c r="X58" s="7">
        <f t="shared" si="52"/>
        <v>-867</v>
      </c>
      <c r="Y58" s="2"/>
      <c r="Z58" s="6">
        <f t="shared" si="53"/>
        <v>-1</v>
      </c>
    </row>
    <row r="59" spans="1:26" s="24" customFormat="1" hidden="1" outlineLevel="2" x14ac:dyDescent="0.3">
      <c r="A59" s="27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46"/>
        <v>0</v>
      </c>
      <c r="G59" s="2"/>
      <c r="H59" s="7"/>
      <c r="I59" s="2"/>
      <c r="J59" s="6">
        <f t="shared" si="47"/>
        <v>0</v>
      </c>
      <c r="K59" s="2"/>
      <c r="L59" s="7">
        <f t="shared" si="48"/>
        <v>0</v>
      </c>
      <c r="M59" s="2"/>
      <c r="N59" s="6">
        <f t="shared" si="49"/>
        <v>0</v>
      </c>
      <c r="O59" s="11"/>
      <c r="P59" s="7">
        <v>7229.52</v>
      </c>
      <c r="Q59" s="2"/>
      <c r="R59" s="6">
        <f t="shared" si="50"/>
        <v>8.9760602635337694E-2</v>
      </c>
      <c r="S59" s="2"/>
      <c r="T59" s="7"/>
      <c r="U59" s="2"/>
      <c r="V59" s="6">
        <f t="shared" si="51"/>
        <v>0</v>
      </c>
      <c r="W59" s="2"/>
      <c r="X59" s="7">
        <f t="shared" si="52"/>
        <v>7229.52</v>
      </c>
      <c r="Y59" s="2"/>
      <c r="Z59" s="6">
        <f t="shared" si="53"/>
        <v>0</v>
      </c>
    </row>
    <row r="60" spans="1:26" s="24" customFormat="1" hidden="1" outlineLevel="2" x14ac:dyDescent="0.3">
      <c r="A60" s="27"/>
      <c r="B60" s="11" t="str">
        <f>CONCATENATE("          ", "6286", " - ", "LAUNDRY EXPENSE")</f>
        <v xml:space="preserve">          6286 - LAUNDRY EXPENSE</v>
      </c>
      <c r="C60" s="11"/>
      <c r="D60" s="7">
        <v>114.16</v>
      </c>
      <c r="E60" s="2"/>
      <c r="F60" s="6">
        <f t="shared" si="46"/>
        <v>2.3618691372226105E-2</v>
      </c>
      <c r="G60" s="2"/>
      <c r="H60" s="7"/>
      <c r="I60" s="2"/>
      <c r="J60" s="6">
        <f t="shared" si="47"/>
        <v>0</v>
      </c>
      <c r="K60" s="2"/>
      <c r="L60" s="7">
        <f t="shared" si="48"/>
        <v>114.16</v>
      </c>
      <c r="M60" s="2"/>
      <c r="N60" s="6">
        <f t="shared" si="49"/>
        <v>0</v>
      </c>
      <c r="O60" s="11"/>
      <c r="P60" s="7">
        <v>539.96</v>
      </c>
      <c r="Q60" s="2"/>
      <c r="R60" s="6">
        <f t="shared" si="50"/>
        <v>6.7040598821189986E-3</v>
      </c>
      <c r="S60" s="2"/>
      <c r="T60" s="7"/>
      <c r="U60" s="2"/>
      <c r="V60" s="6">
        <f t="shared" si="51"/>
        <v>0</v>
      </c>
      <c r="W60" s="2"/>
      <c r="X60" s="7">
        <f t="shared" si="52"/>
        <v>539.96</v>
      </c>
      <c r="Y60" s="2"/>
      <c r="Z60" s="6">
        <f t="shared" si="53"/>
        <v>0</v>
      </c>
    </row>
    <row r="61" spans="1:26" s="29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SUM(OSRRefD22_12x_0)</f>
        <v>262.48</v>
      </c>
      <c r="E61" s="1"/>
      <c r="F61" s="5">
        <f t="shared" ref="F61:F66" si="54">IF(D$12=0,0,D61/D$12)</f>
        <v>5.4304783736702077E-2</v>
      </c>
      <c r="G61" s="1"/>
      <c r="H61" s="1">
        <f>SUM(OSRRefH22_12x_0)</f>
        <v>0</v>
      </c>
      <c r="I61" s="1"/>
      <c r="J61" s="5">
        <f t="shared" ref="J61:J66" si="55">IF(H$12=0,0,H61/H$12)</f>
        <v>0</v>
      </c>
      <c r="K61" s="1"/>
      <c r="L61" s="1">
        <f t="shared" ref="L61:L66" si="56">+D61-H61</f>
        <v>262.48</v>
      </c>
      <c r="M61" s="1"/>
      <c r="N61" s="5">
        <f t="shared" ref="N61:N66" si="57">IF(H61=0,0,L61/H61)</f>
        <v>0</v>
      </c>
      <c r="O61" s="14"/>
      <c r="P61" s="1">
        <f>SUM(OSRRefP22_12x_0)</f>
        <v>1784.6399999999999</v>
      </c>
      <c r="Q61" s="1"/>
      <c r="R61" s="5">
        <f t="shared" ref="R61:R66" si="58">IF(P$12=0,0,P61/P$12)</f>
        <v>2.215781433444116E-2</v>
      </c>
      <c r="S61" s="1"/>
      <c r="T61" s="1">
        <f>SUM(OSRRefT22_12x_0)</f>
        <v>634.24</v>
      </c>
      <c r="U61" s="1"/>
      <c r="V61" s="5">
        <f t="shared" ref="V61:V66" si="59">IF(T$12=0,0,T61/T$12)</f>
        <v>0</v>
      </c>
      <c r="W61" s="1"/>
      <c r="X61" s="1">
        <f t="shared" ref="X61:X66" si="60">+P61-T61</f>
        <v>1150.3999999999999</v>
      </c>
      <c r="Y61" s="1"/>
      <c r="Z61" s="5">
        <f t="shared" ref="Z61:Z66" si="61">IF(T61=0,0,X61/T61)</f>
        <v>1.8138244197780018</v>
      </c>
    </row>
    <row r="62" spans="1:26" s="24" customFormat="1" hidden="1" outlineLevel="2" x14ac:dyDescent="0.3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7"/>
      <c r="E62" s="2"/>
      <c r="F62" s="6">
        <f t="shared" si="54"/>
        <v>0</v>
      </c>
      <c r="G62" s="2"/>
      <c r="H62" s="7"/>
      <c r="I62" s="2"/>
      <c r="J62" s="6">
        <f t="shared" si="55"/>
        <v>0</v>
      </c>
      <c r="K62" s="2"/>
      <c r="L62" s="7">
        <f t="shared" si="56"/>
        <v>0</v>
      </c>
      <c r="M62" s="2"/>
      <c r="N62" s="6">
        <f t="shared" si="57"/>
        <v>0</v>
      </c>
      <c r="O62" s="11"/>
      <c r="P62" s="7"/>
      <c r="Q62" s="2"/>
      <c r="R62" s="6">
        <f t="shared" si="58"/>
        <v>0</v>
      </c>
      <c r="S62" s="2"/>
      <c r="T62" s="7">
        <v>316.67</v>
      </c>
      <c r="U62" s="2"/>
      <c r="V62" s="6">
        <f t="shared" si="59"/>
        <v>0</v>
      </c>
      <c r="W62" s="2"/>
      <c r="X62" s="7">
        <f t="shared" si="60"/>
        <v>-316.67</v>
      </c>
      <c r="Y62" s="2"/>
      <c r="Z62" s="6">
        <f t="shared" si="61"/>
        <v>-1</v>
      </c>
    </row>
    <row r="63" spans="1:26" s="24" customFormat="1" hidden="1" outlineLevel="2" x14ac:dyDescent="0.3">
      <c r="A63" s="27"/>
      <c r="B63" s="11" t="str">
        <f>CONCATENATE("          ", "6237", " - ", "JANITORIAL SUPPLIES")</f>
        <v xml:space="preserve">          6237 - JANITORIAL SUPPLIES</v>
      </c>
      <c r="C63" s="11"/>
      <c r="D63" s="7">
        <v>51.51</v>
      </c>
      <c r="E63" s="2"/>
      <c r="F63" s="6">
        <f t="shared" si="54"/>
        <v>1.0656962093407206E-2</v>
      </c>
      <c r="G63" s="2"/>
      <c r="H63" s="7"/>
      <c r="I63" s="2"/>
      <c r="J63" s="6">
        <f t="shared" si="55"/>
        <v>0</v>
      </c>
      <c r="K63" s="2"/>
      <c r="L63" s="7">
        <f t="shared" si="56"/>
        <v>51.51</v>
      </c>
      <c r="M63" s="2"/>
      <c r="N63" s="6">
        <f t="shared" si="57"/>
        <v>0</v>
      </c>
      <c r="O63" s="11"/>
      <c r="P63" s="7">
        <v>616.89</v>
      </c>
      <c r="Q63" s="2"/>
      <c r="R63" s="6">
        <f t="shared" si="58"/>
        <v>7.6592108687317372E-3</v>
      </c>
      <c r="S63" s="2"/>
      <c r="T63" s="7">
        <v>317.57</v>
      </c>
      <c r="U63" s="2"/>
      <c r="V63" s="6">
        <f t="shared" si="59"/>
        <v>0</v>
      </c>
      <c r="W63" s="2"/>
      <c r="X63" s="7">
        <f t="shared" si="60"/>
        <v>299.32</v>
      </c>
      <c r="Y63" s="2"/>
      <c r="Z63" s="6">
        <f t="shared" si="61"/>
        <v>0.94253235507132282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7">
        <v>136.59</v>
      </c>
      <c r="E64" s="2"/>
      <c r="F64" s="6">
        <f t="shared" si="54"/>
        <v>2.825925941251195E-2</v>
      </c>
      <c r="G64" s="2"/>
      <c r="H64" s="7"/>
      <c r="I64" s="2"/>
      <c r="J64" s="6">
        <f t="shared" si="55"/>
        <v>0</v>
      </c>
      <c r="K64" s="2"/>
      <c r="L64" s="7">
        <f t="shared" si="56"/>
        <v>136.59</v>
      </c>
      <c r="M64" s="2"/>
      <c r="N64" s="6">
        <f t="shared" si="57"/>
        <v>0</v>
      </c>
      <c r="O64" s="11"/>
      <c r="P64" s="7">
        <v>341.88</v>
      </c>
      <c r="Q64" s="2"/>
      <c r="R64" s="6">
        <f t="shared" si="58"/>
        <v>4.2447292253108438E-3</v>
      </c>
      <c r="S64" s="2"/>
      <c r="T64" s="7"/>
      <c r="U64" s="2"/>
      <c r="V64" s="6">
        <f t="shared" si="59"/>
        <v>0</v>
      </c>
      <c r="W64" s="2"/>
      <c r="X64" s="7">
        <f t="shared" si="60"/>
        <v>341.88</v>
      </c>
      <c r="Y64" s="2"/>
      <c r="Z64" s="6">
        <f t="shared" si="61"/>
        <v>0</v>
      </c>
    </row>
    <row r="65" spans="1:26" s="24" customFormat="1" hidden="1" outlineLevel="2" x14ac:dyDescent="0.3">
      <c r="A65" s="27"/>
      <c r="B65" s="11" t="str">
        <f>CONCATENATE("          ", "6243", " - ", "PAPER SUPPLIES")</f>
        <v xml:space="preserve">          6243 - PAPER SUPPLIES</v>
      </c>
      <c r="C65" s="11"/>
      <c r="D65" s="7">
        <v>44.38</v>
      </c>
      <c r="E65" s="2"/>
      <c r="F65" s="6">
        <f t="shared" si="54"/>
        <v>9.1818283382918246E-3</v>
      </c>
      <c r="G65" s="2"/>
      <c r="H65" s="7"/>
      <c r="I65" s="2"/>
      <c r="J65" s="6">
        <f t="shared" si="55"/>
        <v>0</v>
      </c>
      <c r="K65" s="2"/>
      <c r="L65" s="7">
        <f t="shared" si="56"/>
        <v>44.38</v>
      </c>
      <c r="M65" s="2"/>
      <c r="N65" s="6">
        <f t="shared" si="57"/>
        <v>0</v>
      </c>
      <c r="O65" s="11"/>
      <c r="P65" s="7">
        <v>44.38</v>
      </c>
      <c r="Q65" s="2"/>
      <c r="R65" s="6">
        <f t="shared" si="58"/>
        <v>5.5101521884665745E-4</v>
      </c>
      <c r="S65" s="2"/>
      <c r="T65" s="7"/>
      <c r="U65" s="2"/>
      <c r="V65" s="6">
        <f t="shared" si="59"/>
        <v>0</v>
      </c>
      <c r="W65" s="2"/>
      <c r="X65" s="7">
        <f t="shared" si="60"/>
        <v>44.38</v>
      </c>
      <c r="Y65" s="2"/>
      <c r="Z65" s="6">
        <f t="shared" si="61"/>
        <v>0</v>
      </c>
    </row>
    <row r="66" spans="1:26" s="24" customFormat="1" hidden="1" outlineLevel="2" x14ac:dyDescent="0.3">
      <c r="A66" s="27"/>
      <c r="B66" s="11" t="str">
        <f>CONCATENATE("          ", "6247", " - ", "STORE SUPPLIES")</f>
        <v xml:space="preserve">          6247 - STORE SUPPLIES</v>
      </c>
      <c r="C66" s="11"/>
      <c r="D66" s="7">
        <v>30</v>
      </c>
      <c r="E66" s="2"/>
      <c r="F66" s="6">
        <f t="shared" si="54"/>
        <v>6.2067338924910931E-3</v>
      </c>
      <c r="G66" s="2"/>
      <c r="H66" s="7"/>
      <c r="I66" s="2"/>
      <c r="J66" s="6">
        <f t="shared" si="55"/>
        <v>0</v>
      </c>
      <c r="K66" s="2"/>
      <c r="L66" s="7">
        <f t="shared" si="56"/>
        <v>30</v>
      </c>
      <c r="M66" s="2"/>
      <c r="N66" s="6">
        <f t="shared" si="57"/>
        <v>0</v>
      </c>
      <c r="O66" s="11"/>
      <c r="P66" s="7">
        <v>781.49</v>
      </c>
      <c r="Q66" s="2"/>
      <c r="R66" s="6">
        <f t="shared" si="58"/>
        <v>9.7028590215519229E-3</v>
      </c>
      <c r="S66" s="2"/>
      <c r="T66" s="7"/>
      <c r="U66" s="2"/>
      <c r="V66" s="6">
        <f t="shared" si="59"/>
        <v>0</v>
      </c>
      <c r="W66" s="2"/>
      <c r="X66" s="7">
        <f t="shared" si="60"/>
        <v>781.49</v>
      </c>
      <c r="Y66" s="2"/>
      <c r="Z66" s="6">
        <f t="shared" si="61"/>
        <v>0</v>
      </c>
    </row>
    <row r="67" spans="1:26" s="29" customFormat="1" outlineLevel="1" collapsed="1" x14ac:dyDescent="0.3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SUM(OSRRefD22_13x_0)</f>
        <v>75</v>
      </c>
      <c r="E67" s="1"/>
      <c r="F67" s="5">
        <f t="shared" ref="F67:F70" si="62">IF(D$12=0,0,D67/D$12)</f>
        <v>1.5516834731227733E-2</v>
      </c>
      <c r="G67" s="1"/>
      <c r="H67" s="1">
        <f>SUM(OSRRefH22_13x_0)</f>
        <v>172</v>
      </c>
      <c r="I67" s="1"/>
      <c r="J67" s="5">
        <f t="shared" ref="J67:J70" si="63">IF(H$12=0,0,H67/H$12)</f>
        <v>0</v>
      </c>
      <c r="K67" s="1"/>
      <c r="L67" s="1">
        <f t="shared" ref="L67:L70" si="64">+D67-H67</f>
        <v>-97</v>
      </c>
      <c r="M67" s="1"/>
      <c r="N67" s="5">
        <f t="shared" ref="N67:N70" si="65">IF(H67=0,0,L67/H67)</f>
        <v>-0.56395348837209303</v>
      </c>
      <c r="O67" s="14"/>
      <c r="P67" s="1">
        <f>SUM(OSRRefP22_13x_0)</f>
        <v>314</v>
      </c>
      <c r="Q67" s="1"/>
      <c r="R67" s="5">
        <f t="shared" ref="R67:R70" si="66">IF(P$12=0,0,P67/P$12)</f>
        <v>3.8985754555622E-3</v>
      </c>
      <c r="S67" s="1"/>
      <c r="T67" s="1">
        <f>SUM(OSRRefT22_13x_0)</f>
        <v>1059.8699999999999</v>
      </c>
      <c r="U67" s="1"/>
      <c r="V67" s="5">
        <f t="shared" ref="V67:V70" si="67">IF(T$12=0,0,T67/T$12)</f>
        <v>0</v>
      </c>
      <c r="W67" s="1"/>
      <c r="X67" s="1">
        <f t="shared" ref="X67:X70" si="68">+P67-T67</f>
        <v>-745.86999999999989</v>
      </c>
      <c r="Y67" s="1"/>
      <c r="Z67" s="5">
        <f t="shared" ref="Z67:Z70" si="69">IF(T67=0,0,X67/T67)</f>
        <v>-0.70373725079490879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7">
        <v>75</v>
      </c>
      <c r="E68" s="2"/>
      <c r="F68" s="6">
        <f t="shared" si="62"/>
        <v>1.5516834731227733E-2</v>
      </c>
      <c r="G68" s="2"/>
      <c r="H68" s="7">
        <v>172</v>
      </c>
      <c r="I68" s="2"/>
      <c r="J68" s="6">
        <f t="shared" si="63"/>
        <v>0</v>
      </c>
      <c r="K68" s="2"/>
      <c r="L68" s="7">
        <f t="shared" si="64"/>
        <v>-97</v>
      </c>
      <c r="M68" s="2"/>
      <c r="N68" s="6">
        <f t="shared" si="65"/>
        <v>-0.56395348837209303</v>
      </c>
      <c r="O68" s="11"/>
      <c r="P68" s="7">
        <v>314</v>
      </c>
      <c r="Q68" s="2"/>
      <c r="R68" s="6">
        <f t="shared" si="66"/>
        <v>3.8985754555622E-3</v>
      </c>
      <c r="S68" s="2"/>
      <c r="T68" s="7">
        <v>1059.8699999999999</v>
      </c>
      <c r="U68" s="2"/>
      <c r="V68" s="6">
        <f t="shared" si="67"/>
        <v>0</v>
      </c>
      <c r="W68" s="2"/>
      <c r="X68" s="7">
        <f t="shared" si="68"/>
        <v>-745.86999999999989</v>
      </c>
      <c r="Y68" s="2"/>
      <c r="Z68" s="6">
        <f t="shared" si="69"/>
        <v>-0.70373725079490879</v>
      </c>
    </row>
    <row r="69" spans="1:26" s="29" customFormat="1" outlineLevel="1" collapsed="1" x14ac:dyDescent="0.3">
      <c r="A69" s="28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SUM(OSRRefD22_14x_0)</f>
        <v>100</v>
      </c>
      <c r="E69" s="1"/>
      <c r="F69" s="5">
        <f t="shared" si="62"/>
        <v>2.0689112974970312E-2</v>
      </c>
      <c r="G69" s="1"/>
      <c r="H69" s="1">
        <f>SUM(OSRRefH22_14x_0)</f>
        <v>878</v>
      </c>
      <c r="I69" s="1"/>
      <c r="J69" s="5">
        <f t="shared" si="63"/>
        <v>0</v>
      </c>
      <c r="K69" s="1"/>
      <c r="L69" s="1">
        <f t="shared" si="64"/>
        <v>-778</v>
      </c>
      <c r="M69" s="1"/>
      <c r="N69" s="5">
        <f t="shared" si="65"/>
        <v>-0.88610478359908884</v>
      </c>
      <c r="O69" s="14"/>
      <c r="P69" s="1">
        <f>SUM(OSRRefP22_14x_0)</f>
        <v>700</v>
      </c>
      <c r="Q69" s="1"/>
      <c r="R69" s="5">
        <f t="shared" si="66"/>
        <v>8.6910917799157324E-3</v>
      </c>
      <c r="S69" s="1"/>
      <c r="T69" s="1">
        <f>SUM(OSRRefT22_14x_0)</f>
        <v>3512</v>
      </c>
      <c r="U69" s="1"/>
      <c r="V69" s="5">
        <f t="shared" si="67"/>
        <v>0</v>
      </c>
      <c r="W69" s="1"/>
      <c r="X69" s="1">
        <f t="shared" si="68"/>
        <v>-2812</v>
      </c>
      <c r="Y69" s="1"/>
      <c r="Z69" s="5">
        <f t="shared" si="69"/>
        <v>-0.8006833712984055</v>
      </c>
    </row>
    <row r="70" spans="1:26" s="24" customFormat="1" hidden="1" outlineLevel="2" x14ac:dyDescent="0.3">
      <c r="A70" s="27"/>
      <c r="B70" s="11" t="str">
        <f>CONCATENATE("          ", "6274", " - ", "UTILITIES")</f>
        <v xml:space="preserve">          6274 - UTILITIES</v>
      </c>
      <c r="C70" s="11"/>
      <c r="D70" s="7">
        <v>100</v>
      </c>
      <c r="E70" s="2"/>
      <c r="F70" s="6">
        <f t="shared" si="62"/>
        <v>2.0689112974970312E-2</v>
      </c>
      <c r="G70" s="2"/>
      <c r="H70" s="7">
        <v>878</v>
      </c>
      <c r="I70" s="2"/>
      <c r="J70" s="6">
        <f t="shared" si="63"/>
        <v>0</v>
      </c>
      <c r="K70" s="2"/>
      <c r="L70" s="7">
        <f t="shared" si="64"/>
        <v>-778</v>
      </c>
      <c r="M70" s="2"/>
      <c r="N70" s="6">
        <f t="shared" si="65"/>
        <v>-0.88610478359908884</v>
      </c>
      <c r="O70" s="11"/>
      <c r="P70" s="7">
        <v>700</v>
      </c>
      <c r="Q70" s="2"/>
      <c r="R70" s="6">
        <f t="shared" si="66"/>
        <v>8.6910917799157324E-3</v>
      </c>
      <c r="S70" s="2"/>
      <c r="T70" s="7">
        <v>3512</v>
      </c>
      <c r="U70" s="2"/>
      <c r="V70" s="6">
        <f t="shared" si="67"/>
        <v>0</v>
      </c>
      <c r="W70" s="2"/>
      <c r="X70" s="7">
        <f t="shared" si="68"/>
        <v>-2812</v>
      </c>
      <c r="Y70" s="2"/>
      <c r="Z70" s="6">
        <f t="shared" si="69"/>
        <v>-0.8006833712984055</v>
      </c>
    </row>
    <row r="71" spans="1:26" s="52" customFormat="1" x14ac:dyDescent="0.3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3">
      <c r="A72" s="10"/>
      <c r="B72" s="26" t="s">
        <v>292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3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10"/>
      <c r="B74" s="25" t="s">
        <v>276</v>
      </c>
      <c r="C74" s="25"/>
      <c r="D74" s="21">
        <f>+D20-D22+D72</f>
        <v>-19822.129999999997</v>
      </c>
      <c r="E74" s="13"/>
      <c r="F74" s="22">
        <f>IF(D$12=0,0,D74/D$12)</f>
        <v>-4.1010228697454822</v>
      </c>
      <c r="G74" s="13"/>
      <c r="H74" s="21">
        <f>+H20-H22+H72</f>
        <v>-11903.55</v>
      </c>
      <c r="I74" s="13"/>
      <c r="J74" s="22">
        <f>IF(H$12=0,0,H74/H$12)</f>
        <v>0</v>
      </c>
      <c r="K74" s="15"/>
      <c r="L74" s="21">
        <f>+D74-H74</f>
        <v>-7918.5799999999981</v>
      </c>
      <c r="M74" s="15"/>
      <c r="N74" s="22">
        <f>IF(H74=0,0,L74/H74)</f>
        <v>0.66522844025521788</v>
      </c>
      <c r="O74" s="26"/>
      <c r="P74" s="21">
        <f>+P20-P22+P72</f>
        <v>-81522.750000000029</v>
      </c>
      <c r="Q74" s="13"/>
      <c r="R74" s="22">
        <f>IF(P$12=0,0,P74/P$12)</f>
        <v>-1.0121738605730364</v>
      </c>
      <c r="S74" s="13"/>
      <c r="T74" s="21">
        <f>+T20-T22+T72</f>
        <v>-91074.810000000012</v>
      </c>
      <c r="U74" s="13"/>
      <c r="V74" s="22">
        <f>IF(T$12=0,0,T74/T$12)</f>
        <v>0</v>
      </c>
      <c r="W74" s="15"/>
      <c r="X74" s="21">
        <f>+P74-T74</f>
        <v>9552.0599999999831</v>
      </c>
      <c r="Y74" s="15"/>
      <c r="Z74" s="22">
        <f>IF(T74=0,0,X74/T74)</f>
        <v>-0.10488147051857678</v>
      </c>
    </row>
    <row r="75" spans="1:26" x14ac:dyDescent="0.3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">
      <c r="A76" s="51"/>
      <c r="B76" s="10" t="s">
        <v>127</v>
      </c>
      <c r="C76" s="10"/>
      <c r="D76" s="4">
        <v>1548.04</v>
      </c>
      <c r="E76" s="4"/>
      <c r="F76" s="12">
        <f>IF(D$12=0,0,D76/D$12)</f>
        <v>0.32027574449773039</v>
      </c>
      <c r="G76" s="4"/>
      <c r="H76" s="4"/>
      <c r="I76" s="4"/>
      <c r="J76" s="12">
        <f>IF(H$12=0,0,H76/H$12)</f>
        <v>0</v>
      </c>
      <c r="K76" s="4"/>
      <c r="L76" s="4">
        <f>+D76-H76</f>
        <v>1548.04</v>
      </c>
      <c r="M76" s="4"/>
      <c r="N76" s="12">
        <f>IF(H76=0,0,L76/H76)</f>
        <v>0</v>
      </c>
      <c r="O76" s="10"/>
      <c r="P76" s="4">
        <v>10661.17</v>
      </c>
      <c r="Q76" s="4"/>
      <c r="R76" s="12">
        <f>IF(P$12=0,0,P76/P$12)</f>
        <v>0.13236743850183458</v>
      </c>
      <c r="S76" s="4"/>
      <c r="T76" s="4"/>
      <c r="U76" s="4"/>
      <c r="V76" s="12">
        <f>IF(T$12=0,0,T76/T$12)</f>
        <v>0</v>
      </c>
      <c r="W76" s="4"/>
      <c r="X76" s="4">
        <f>+P76-T76</f>
        <v>10661.17</v>
      </c>
      <c r="Y76" s="4"/>
      <c r="Z76" s="12">
        <f>IF(T76=0,0,X76/T76)</f>
        <v>0</v>
      </c>
    </row>
    <row r="77" spans="1:26" x14ac:dyDescent="0.3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5" t="s">
        <v>125</v>
      </c>
      <c r="C78" s="25"/>
      <c r="D78" s="36">
        <f>+D74-D76</f>
        <v>-21370.17</v>
      </c>
      <c r="E78" s="13"/>
      <c r="F78" s="31">
        <f>IF(D$12=0,0,D78/D$12)</f>
        <v>-4.4212986142432129</v>
      </c>
      <c r="G78" s="13"/>
      <c r="H78" s="36">
        <f>+H74-H76</f>
        <v>-11903.55</v>
      </c>
      <c r="I78" s="13"/>
      <c r="J78" s="31">
        <f>IF(H$12=0,0,H78/H$12)</f>
        <v>0</v>
      </c>
      <c r="K78" s="15"/>
      <c r="L78" s="36">
        <f>D78-H78</f>
        <v>-9466.619999999999</v>
      </c>
      <c r="M78" s="15"/>
      <c r="N78" s="31">
        <f>IF(H78=0,0,L78/H78)</f>
        <v>0.79527703920259074</v>
      </c>
      <c r="O78" s="26"/>
      <c r="P78" s="36">
        <f>+P74-P76</f>
        <v>-92183.920000000027</v>
      </c>
      <c r="Q78" s="13"/>
      <c r="R78" s="31">
        <f>IF(P$12=0,0,P78/P$12)</f>
        <v>-1.1445412990748709</v>
      </c>
      <c r="S78" s="13"/>
      <c r="T78" s="36">
        <f>+T74-T76</f>
        <v>-91074.810000000012</v>
      </c>
      <c r="U78" s="13"/>
      <c r="V78" s="31">
        <f>IF(T$12=0,0,T78/T$12)</f>
        <v>0</v>
      </c>
      <c r="W78" s="15"/>
      <c r="X78" s="36">
        <f>P78-T78</f>
        <v>-1109.1100000000151</v>
      </c>
      <c r="Y78" s="15"/>
      <c r="Z78" s="31">
        <f>IF(T78=0,0,X78/T78)</f>
        <v>1.2178010582728802E-2</v>
      </c>
    </row>
    <row r="79" spans="1:26" ht="15" thickTop="1" x14ac:dyDescent="0.3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35">
      <c r="A81" s="10"/>
      <c r="B81" s="25" t="s">
        <v>293</v>
      </c>
      <c r="C81" s="25"/>
      <c r="D81" s="35">
        <f>SUM(D78:D80)</f>
        <v>-21370.17</v>
      </c>
      <c r="E81" s="13"/>
      <c r="F81" s="32">
        <f>IF(D$12=0,0,D81/D$12)</f>
        <v>-4.4212986142432129</v>
      </c>
      <c r="G81" s="13"/>
      <c r="H81" s="35">
        <f>SUM(H78:H80)</f>
        <v>-11903.55</v>
      </c>
      <c r="I81" s="13"/>
      <c r="J81" s="32">
        <f>IF(H$12=0,0,H81/H$12)</f>
        <v>0</v>
      </c>
      <c r="K81" s="15"/>
      <c r="L81" s="35">
        <f>+D81-H81</f>
        <v>-9466.619999999999</v>
      </c>
      <c r="M81" s="15"/>
      <c r="N81" s="32">
        <f>IF(H81=0,0,L81/H81)</f>
        <v>0.79527703920259074</v>
      </c>
      <c r="O81" s="26"/>
      <c r="P81" s="35">
        <f>SUM(P78:P80)</f>
        <v>-92183.920000000027</v>
      </c>
      <c r="Q81" s="13"/>
      <c r="R81" s="32">
        <f>IF(P$12=0,0,P81/P$12)</f>
        <v>-1.1445412990748709</v>
      </c>
      <c r="S81" s="13"/>
      <c r="T81" s="35">
        <f>SUM(T78:T80)</f>
        <v>-91074.810000000012</v>
      </c>
      <c r="U81" s="13"/>
      <c r="V81" s="32">
        <f>IF(T$12=0,0,T81/T$12)</f>
        <v>0</v>
      </c>
      <c r="W81" s="15"/>
      <c r="X81" s="35">
        <f>+P81-T81</f>
        <v>-1109.1100000000151</v>
      </c>
      <c r="Y81" s="15"/>
      <c r="Z81" s="32">
        <f>IF(T81=0,0,X81/T81)</f>
        <v>1.2178010582728802E-2</v>
      </c>
    </row>
    <row r="82" spans="1:26" ht="15" thickTop="1" x14ac:dyDescent="0.3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3">
      <c r="A83" s="9"/>
      <c r="B83" s="54">
        <v>44604.028475694446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53" t="s">
        <v>56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698.72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4" si="2">+P12-T12</f>
        <v>588.72</v>
      </c>
      <c r="Y12" s="4"/>
      <c r="Z12" s="12">
        <f t="shared" ref="Z12:Z14" si="3">IF(T12=0,0,X12/T12)</f>
        <v>5.3520000000000003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--698.72</f>
        <v>698.72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698.72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--110</f>
        <v>110</v>
      </c>
      <c r="U14" s="2"/>
      <c r="V14" s="19"/>
      <c r="W14" s="2"/>
      <c r="X14" s="2">
        <f t="shared" si="2"/>
        <v>-110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-8.7999999999999972</v>
      </c>
      <c r="Q16" s="4"/>
      <c r="R16" s="12">
        <f t="shared" ref="R16:R18" si="10">IF(P$12=0,0,P16/P$12)</f>
        <v>-1.2594458438287149E-2</v>
      </c>
      <c r="S16" s="4"/>
      <c r="T16" s="4">
        <f>SUM(OSRRefT16x_0)</f>
        <v>68.91</v>
      </c>
      <c r="U16" s="4"/>
      <c r="V16" s="12">
        <f t="shared" ref="V16:V18" si="11">IF(T$12=0,0,T16/T$12)</f>
        <v>0.62645454545454538</v>
      </c>
      <c r="W16" s="4"/>
      <c r="X16" s="4">
        <f t="shared" ref="X16:X18" si="12">+P16-T16</f>
        <v>-77.709999999999994</v>
      </c>
      <c r="Y16" s="4"/>
      <c r="Z16" s="12">
        <f t="shared" ref="Z16:Z18" si="13">IF(T16=0,0,X16/T16)</f>
        <v>-1.1277028007546075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45</v>
      </c>
      <c r="Q17" s="2"/>
      <c r="R17" s="19">
        <f t="shared" si="10"/>
        <v>6.4403480650332037E-2</v>
      </c>
      <c r="S17" s="2"/>
      <c r="T17" s="2"/>
      <c r="U17" s="2"/>
      <c r="V17" s="19">
        <f t="shared" si="11"/>
        <v>0</v>
      </c>
      <c r="W17" s="2"/>
      <c r="X17" s="2">
        <f t="shared" si="12"/>
        <v>45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-53.8</v>
      </c>
      <c r="Q18" s="2"/>
      <c r="R18" s="19">
        <f t="shared" si="10"/>
        <v>-7.6997939088619183E-2</v>
      </c>
      <c r="S18" s="2"/>
      <c r="T18" s="2">
        <v>68.91</v>
      </c>
      <c r="U18" s="2"/>
      <c r="V18" s="19">
        <f t="shared" si="11"/>
        <v>0.62645454545454538</v>
      </c>
      <c r="W18" s="2"/>
      <c r="X18" s="2">
        <f t="shared" si="12"/>
        <v>-122.71</v>
      </c>
      <c r="Y18" s="2"/>
      <c r="Z18" s="19">
        <f t="shared" si="13"/>
        <v>-1.7807284864315773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0</v>
      </c>
      <c r="E20" s="13"/>
      <c r="F20" s="22">
        <f>IF(D$12=0,0,D20/D$12)</f>
        <v>0</v>
      </c>
      <c r="G20" s="13"/>
      <c r="H20" s="21">
        <f>H12-H16</f>
        <v>0</v>
      </c>
      <c r="I20" s="13"/>
      <c r="J20" s="22">
        <f>IF(H$12=0,0,H20/H$12)</f>
        <v>0</v>
      </c>
      <c r="K20" s="15"/>
      <c r="L20" s="21">
        <f>+D20-H20</f>
        <v>0</v>
      </c>
      <c r="M20" s="15"/>
      <c r="N20" s="22">
        <f>IF(H20=0,0,L20/H20)</f>
        <v>0</v>
      </c>
      <c r="O20" s="26"/>
      <c r="P20" s="21">
        <f>P12-P16</f>
        <v>707.52</v>
      </c>
      <c r="Q20" s="13"/>
      <c r="R20" s="22">
        <f>IF(P$12=0,0,P20/P$12)</f>
        <v>1.0125944584382871</v>
      </c>
      <c r="S20" s="13"/>
      <c r="T20" s="21">
        <f>T12-T16</f>
        <v>41.09</v>
      </c>
      <c r="U20" s="13"/>
      <c r="V20" s="22">
        <f>IF(T$12=0,0,T20/T$12)</f>
        <v>0.37354545454545457</v>
      </c>
      <c r="W20" s="15"/>
      <c r="X20" s="21">
        <f>+P20-T20</f>
        <v>666.43</v>
      </c>
      <c r="Y20" s="15"/>
      <c r="Z20" s="22">
        <f>IF(T20=0,0,X20/T20)</f>
        <v>16.218788026283764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758.88</v>
      </c>
      <c r="E22" s="20"/>
      <c r="F22" s="30">
        <f t="shared" ref="F22:F26" si="14">IF(D$12=0,0,D22/D$12)</f>
        <v>0</v>
      </c>
      <c r="G22" s="20"/>
      <c r="H22" s="20">
        <f>SUM(OSRRefH22x_0)</f>
        <v>0</v>
      </c>
      <c r="I22" s="20"/>
      <c r="J22" s="30">
        <f t="shared" ref="J22:J26" si="15">IF(H$12=0,0,H22/H$12)</f>
        <v>0</v>
      </c>
      <c r="K22" s="4"/>
      <c r="L22" s="20">
        <f t="shared" ref="L22:L26" si="16">+D22-H22</f>
        <v>758.88</v>
      </c>
      <c r="M22" s="4"/>
      <c r="N22" s="30">
        <f t="shared" ref="N22:N26" si="17">IF(H22=0,0,L22/H22)</f>
        <v>0</v>
      </c>
      <c r="O22" s="10"/>
      <c r="P22" s="20">
        <f>SUM(OSRRefP22x_0)</f>
        <v>1125.53</v>
      </c>
      <c r="Q22" s="20"/>
      <c r="R22" s="30">
        <f t="shared" ref="R22:R26" si="18">IF(P$12=0,0,P22/P$12)</f>
        <v>1.6108455461415159</v>
      </c>
      <c r="S22" s="20"/>
      <c r="T22" s="20">
        <f>SUM(OSRRefT22x_0)</f>
        <v>0</v>
      </c>
      <c r="U22" s="20"/>
      <c r="V22" s="30">
        <f t="shared" ref="V22:V26" si="19">IF(T$12=0,0,T22/T$12)</f>
        <v>0</v>
      </c>
      <c r="W22" s="4"/>
      <c r="X22" s="20">
        <f t="shared" ref="X22:X26" si="20">+P22-T22</f>
        <v>1125.53</v>
      </c>
      <c r="Y22" s="4"/>
      <c r="Z22" s="30">
        <f t="shared" ref="Z22:Z26" si="21">IF(T22=0,0,X22/T22)</f>
        <v>0</v>
      </c>
    </row>
    <row r="23" spans="1:26" s="29" customFormat="1" outlineLevel="1" collapsed="1" x14ac:dyDescent="0.3">
      <c r="A23" s="28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4"/>
      <c r="P23" s="1">
        <f>SUM(OSRRefP22_0x_0)</f>
        <v>366.65</v>
      </c>
      <c r="Q23" s="1"/>
      <c r="R23" s="5">
        <f t="shared" si="18"/>
        <v>0.52474524845431636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366.65</v>
      </c>
      <c r="Y23" s="1"/>
      <c r="Z23" s="5">
        <f t="shared" si="21"/>
        <v>0</v>
      </c>
    </row>
    <row r="24" spans="1:26" s="24" customFormat="1" hidden="1" outlineLevel="2" x14ac:dyDescent="0.3">
      <c r="A24" s="27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4"/>
        <v>0</v>
      </c>
      <c r="G24" s="2"/>
      <c r="H24" s="7"/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366.65</v>
      </c>
      <c r="Q24" s="2"/>
      <c r="R24" s="6">
        <f t="shared" si="18"/>
        <v>0.52474524845431636</v>
      </c>
      <c r="S24" s="2"/>
      <c r="T24" s="7"/>
      <c r="U24" s="2"/>
      <c r="V24" s="6">
        <f t="shared" si="19"/>
        <v>0</v>
      </c>
      <c r="W24" s="2"/>
      <c r="X24" s="7">
        <f t="shared" si="20"/>
        <v>366.65</v>
      </c>
      <c r="Y24" s="2"/>
      <c r="Z24" s="6">
        <f t="shared" si="21"/>
        <v>0</v>
      </c>
    </row>
    <row r="25" spans="1:26" s="29" customFormat="1" outlineLevel="1" collapsed="1" x14ac:dyDescent="0.3">
      <c r="A25" s="28"/>
      <c r="B25" s="14" t="str">
        <f>CONCATENATE("     ","General                                           ")</f>
        <v xml:space="preserve">     General                                           </v>
      </c>
      <c r="C25" s="14"/>
      <c r="D25" s="1">
        <f>SUM(OSRRefD22_1x_0)</f>
        <v>758.88</v>
      </c>
      <c r="E25" s="1"/>
      <c r="F25" s="5">
        <f t="shared" si="14"/>
        <v>0</v>
      </c>
      <c r="G25" s="1"/>
      <c r="H25" s="1">
        <f>SUM(OSRRefH22_1x_0)</f>
        <v>0</v>
      </c>
      <c r="I25" s="1"/>
      <c r="J25" s="5">
        <f t="shared" si="15"/>
        <v>0</v>
      </c>
      <c r="K25" s="1"/>
      <c r="L25" s="1">
        <f t="shared" si="16"/>
        <v>758.88</v>
      </c>
      <c r="M25" s="1"/>
      <c r="N25" s="5">
        <f t="shared" si="17"/>
        <v>0</v>
      </c>
      <c r="O25" s="14"/>
      <c r="P25" s="1">
        <f>SUM(OSRRefP22_1x_0)</f>
        <v>758.88</v>
      </c>
      <c r="Q25" s="1"/>
      <c r="R25" s="5">
        <f t="shared" si="18"/>
        <v>1.0861002976871994</v>
      </c>
      <c r="S25" s="1"/>
      <c r="T25" s="1">
        <f>SUM(OSRRefT22_1x_0)</f>
        <v>0</v>
      </c>
      <c r="U25" s="1"/>
      <c r="V25" s="5">
        <f t="shared" si="19"/>
        <v>0</v>
      </c>
      <c r="W25" s="1"/>
      <c r="X25" s="1">
        <f t="shared" si="20"/>
        <v>758.88</v>
      </c>
      <c r="Y25" s="1"/>
      <c r="Z25" s="5">
        <f t="shared" si="21"/>
        <v>0</v>
      </c>
    </row>
    <row r="26" spans="1:26" s="24" customFormat="1" hidden="1" outlineLevel="2" x14ac:dyDescent="0.3">
      <c r="A26" s="27"/>
      <c r="B26" s="11" t="str">
        <f>CONCATENATE("          ", "6279", " - ", "GENERAL EXPENSE")</f>
        <v xml:space="preserve">          6279 - GENERAL EXPENSE</v>
      </c>
      <c r="C26" s="11"/>
      <c r="D26" s="7">
        <v>758.88</v>
      </c>
      <c r="E26" s="2"/>
      <c r="F26" s="6">
        <f t="shared" si="14"/>
        <v>0</v>
      </c>
      <c r="G26" s="2"/>
      <c r="H26" s="7"/>
      <c r="I26" s="2"/>
      <c r="J26" s="6">
        <f t="shared" si="15"/>
        <v>0</v>
      </c>
      <c r="K26" s="2"/>
      <c r="L26" s="7">
        <f t="shared" si="16"/>
        <v>758.88</v>
      </c>
      <c r="M26" s="2"/>
      <c r="N26" s="6">
        <f t="shared" si="17"/>
        <v>0</v>
      </c>
      <c r="O26" s="11"/>
      <c r="P26" s="7">
        <v>758.88</v>
      </c>
      <c r="Q26" s="2"/>
      <c r="R26" s="6">
        <f t="shared" si="18"/>
        <v>1.0861002976871994</v>
      </c>
      <c r="S26" s="2"/>
      <c r="T26" s="7"/>
      <c r="U26" s="2"/>
      <c r="V26" s="6">
        <f t="shared" si="19"/>
        <v>0</v>
      </c>
      <c r="W26" s="2"/>
      <c r="X26" s="7">
        <f t="shared" si="20"/>
        <v>758.88</v>
      </c>
      <c r="Y26" s="2"/>
      <c r="Z26" s="6">
        <f t="shared" si="21"/>
        <v>0</v>
      </c>
    </row>
    <row r="27" spans="1:26" s="52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276</v>
      </c>
      <c r="C30" s="25"/>
      <c r="D30" s="21">
        <f>+D20-D22+D28</f>
        <v>-758.88</v>
      </c>
      <c r="E30" s="13"/>
      <c r="F30" s="22">
        <f>IF(D$12=0,0,D30/D$12)</f>
        <v>0</v>
      </c>
      <c r="G30" s="13"/>
      <c r="H30" s="21">
        <f>+H20-H22+H28</f>
        <v>0</v>
      </c>
      <c r="I30" s="13"/>
      <c r="J30" s="22">
        <f>IF(H$12=0,0,H30/H$12)</f>
        <v>0</v>
      </c>
      <c r="K30" s="15"/>
      <c r="L30" s="21">
        <f>+D30-H30</f>
        <v>-758.88</v>
      </c>
      <c r="M30" s="15"/>
      <c r="N30" s="22">
        <f>IF(H30=0,0,L30/H30)</f>
        <v>0</v>
      </c>
      <c r="O30" s="26"/>
      <c r="P30" s="21">
        <f>+P20-P22+P28</f>
        <v>-418.01</v>
      </c>
      <c r="Q30" s="13"/>
      <c r="R30" s="22">
        <f>IF(P$12=0,0,P30/P$12)</f>
        <v>-0.59825108770322877</v>
      </c>
      <c r="S30" s="13"/>
      <c r="T30" s="21">
        <f>+T20-T22+T28</f>
        <v>41.09</v>
      </c>
      <c r="U30" s="13"/>
      <c r="V30" s="22">
        <f>IF(T$12=0,0,T30/T$12)</f>
        <v>0.37354545454545457</v>
      </c>
      <c r="W30" s="15"/>
      <c r="X30" s="21">
        <f>+P30-T30</f>
        <v>-459.1</v>
      </c>
      <c r="Y30" s="15"/>
      <c r="Z30" s="22">
        <f>IF(T30=0,0,X30/T30)</f>
        <v>-11.173034801654904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>
        <v>8.3800000000000008</v>
      </c>
      <c r="E32" s="4"/>
      <c r="F32" s="12">
        <f>IF(D$12=0,0,D32/D$12)</f>
        <v>0</v>
      </c>
      <c r="G32" s="4"/>
      <c r="H32" s="4">
        <v>-0.38</v>
      </c>
      <c r="I32" s="4"/>
      <c r="J32" s="12">
        <f>IF(H$12=0,0,H32/H$12)</f>
        <v>0</v>
      </c>
      <c r="K32" s="4"/>
      <c r="L32" s="4">
        <f>+D32-H32</f>
        <v>8.7600000000000016</v>
      </c>
      <c r="M32" s="4"/>
      <c r="N32" s="12">
        <f>IF(H32=0,0,L32/H32)</f>
        <v>-23.052631578947373</v>
      </c>
      <c r="O32" s="10"/>
      <c r="P32" s="4">
        <v>92.49</v>
      </c>
      <c r="Q32" s="4"/>
      <c r="R32" s="12">
        <f>IF(P$12=0,0,P32/P$12)</f>
        <v>0.13237062056331578</v>
      </c>
      <c r="S32" s="4"/>
      <c r="T32" s="4">
        <v>19.97</v>
      </c>
      <c r="U32" s="4"/>
      <c r="V32" s="12">
        <f>IF(T$12=0,0,T32/T$12)</f>
        <v>0.18154545454545454</v>
      </c>
      <c r="W32" s="4"/>
      <c r="X32" s="4">
        <f>+P32-T32</f>
        <v>72.52</v>
      </c>
      <c r="Y32" s="4"/>
      <c r="Z32" s="12">
        <f>IF(T32=0,0,X32/T32)</f>
        <v>3.6314471707561342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5" t="s">
        <v>125</v>
      </c>
      <c r="C34" s="25"/>
      <c r="D34" s="36">
        <f>+D30-D32</f>
        <v>-767.26</v>
      </c>
      <c r="E34" s="13"/>
      <c r="F34" s="31">
        <f>IF(D$12=0,0,D34/D$12)</f>
        <v>0</v>
      </c>
      <c r="G34" s="13"/>
      <c r="H34" s="36">
        <f>+H30-H32</f>
        <v>0.38</v>
      </c>
      <c r="I34" s="13"/>
      <c r="J34" s="31">
        <f>IF(H$12=0,0,H34/H$12)</f>
        <v>0</v>
      </c>
      <c r="K34" s="15"/>
      <c r="L34" s="36">
        <f>D34-H34</f>
        <v>-767.64</v>
      </c>
      <c r="M34" s="15"/>
      <c r="N34" s="31">
        <f>IF(H34=0,0,L34/H34)</f>
        <v>-2020.1052631578946</v>
      </c>
      <c r="O34" s="26"/>
      <c r="P34" s="36">
        <f>+P30-P32</f>
        <v>-510.5</v>
      </c>
      <c r="Q34" s="13"/>
      <c r="R34" s="31">
        <f>IF(P$12=0,0,P34/P$12)</f>
        <v>-0.73062170826654449</v>
      </c>
      <c r="S34" s="13"/>
      <c r="T34" s="36">
        <f>+T30-T32</f>
        <v>21.120000000000005</v>
      </c>
      <c r="U34" s="13"/>
      <c r="V34" s="31">
        <f>IF(T$12=0,0,T34/T$12)</f>
        <v>0.19200000000000003</v>
      </c>
      <c r="W34" s="15"/>
      <c r="X34" s="36">
        <f>P34-T34</f>
        <v>-531.62</v>
      </c>
      <c r="Y34" s="15"/>
      <c r="Z34" s="31">
        <f>IF(T34=0,0,X34/T34)</f>
        <v>-25.171401515151508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293</v>
      </c>
      <c r="C37" s="25"/>
      <c r="D37" s="35">
        <f>SUM(D34:D36)</f>
        <v>-767.26</v>
      </c>
      <c r="E37" s="13"/>
      <c r="F37" s="32">
        <f>IF(D$12=0,0,D37/D$12)</f>
        <v>0</v>
      </c>
      <c r="G37" s="13"/>
      <c r="H37" s="35">
        <f>SUM(H34:H36)</f>
        <v>0.38</v>
      </c>
      <c r="I37" s="13"/>
      <c r="J37" s="32">
        <f>IF(H$12=0,0,H37/H$12)</f>
        <v>0</v>
      </c>
      <c r="K37" s="15"/>
      <c r="L37" s="35">
        <f>+D37-H37</f>
        <v>-767.64</v>
      </c>
      <c r="M37" s="15"/>
      <c r="N37" s="32">
        <f>IF(H37=0,0,L37/H37)</f>
        <v>-2020.1052631578946</v>
      </c>
      <c r="O37" s="26"/>
      <c r="P37" s="35">
        <f>SUM(P34:P36)</f>
        <v>-510.5</v>
      </c>
      <c r="Q37" s="13"/>
      <c r="R37" s="32">
        <f>IF(P$12=0,0,P37/P$12)</f>
        <v>-0.73062170826654449</v>
      </c>
      <c r="S37" s="13"/>
      <c r="T37" s="35">
        <f>SUM(T34:T36)</f>
        <v>21.120000000000005</v>
      </c>
      <c r="U37" s="13"/>
      <c r="V37" s="32">
        <f>IF(T$12=0,0,T37/T$12)</f>
        <v>0.19200000000000003</v>
      </c>
      <c r="W37" s="15"/>
      <c r="X37" s="35">
        <f>+P37-T37</f>
        <v>-531.62</v>
      </c>
      <c r="Y37" s="15"/>
      <c r="Z37" s="32">
        <f>IF(T37=0,0,X37/T37)</f>
        <v>-25.171401515151508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4">
        <v>44604.028475694446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3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646859.62</v>
      </c>
      <c r="E12" s="4"/>
      <c r="F12" s="12"/>
      <c r="G12" s="4"/>
      <c r="H12" s="4">
        <f>SUM(OSRRefH13x_0)</f>
        <v>120324.61</v>
      </c>
      <c r="I12" s="4"/>
      <c r="J12" s="12"/>
      <c r="K12" s="4"/>
      <c r="L12" s="4">
        <f t="shared" ref="L12:L18" si="0">+D12-H12</f>
        <v>526535.01</v>
      </c>
      <c r="M12" s="4"/>
      <c r="N12" s="12">
        <f t="shared" ref="N12:N18" si="1">IF(H12=0,0,L12/H12)</f>
        <v>4.3759544286077467</v>
      </c>
      <c r="O12" s="10"/>
      <c r="P12" s="4">
        <f>SUM(OSRRefP13x_0)</f>
        <v>7028717.5200000005</v>
      </c>
      <c r="Q12" s="4"/>
      <c r="R12" s="12"/>
      <c r="S12" s="4"/>
      <c r="T12" s="4">
        <f>SUM(OSRRefT13x_0)</f>
        <v>951038.47000000009</v>
      </c>
      <c r="U12" s="4"/>
      <c r="V12" s="12"/>
      <c r="W12" s="4"/>
      <c r="X12" s="4">
        <f t="shared" ref="X12:X18" si="2">+P12-T12</f>
        <v>6077679.0500000007</v>
      </c>
      <c r="Y12" s="4"/>
      <c r="Z12" s="12">
        <f t="shared" ref="Z12:Z18" si="3">IF(T12=0,0,X12/T12)</f>
        <v>6.3905711931926374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--2376.57</f>
        <v>2376.5700000000002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2376.5700000000002</v>
      </c>
      <c r="M13" s="2"/>
      <c r="N13" s="19">
        <f t="shared" si="1"/>
        <v>0</v>
      </c>
      <c r="O13" s="11"/>
      <c r="P13" s="2">
        <f>--149359.36</f>
        <v>149359.35999999999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126394.87999999999</v>
      </c>
      <c r="Y13" s="2"/>
      <c r="Z13" s="19">
        <f t="shared" si="3"/>
        <v>5.5039295468480018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--82073.46</f>
        <v>82073.460000000006</v>
      </c>
      <c r="I14" s="2"/>
      <c r="J14" s="19"/>
      <c r="K14" s="2"/>
      <c r="L14" s="2">
        <f t="shared" si="0"/>
        <v>-82073.460000000006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--230176.85</f>
        <v>230176.85</v>
      </c>
      <c r="U14" s="2"/>
      <c r="V14" s="19"/>
      <c r="W14" s="2"/>
      <c r="X14" s="2">
        <f t="shared" si="2"/>
        <v>-230176.85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--1512.98</f>
        <v>1512.98</v>
      </c>
      <c r="E15" s="2"/>
      <c r="F15" s="19"/>
      <c r="G15" s="2"/>
      <c r="H15" s="2">
        <f>--46.44</f>
        <v>46.44</v>
      </c>
      <c r="I15" s="2"/>
      <c r="J15" s="19"/>
      <c r="K15" s="2"/>
      <c r="L15" s="2">
        <f t="shared" si="0"/>
        <v>1466.54</v>
      </c>
      <c r="M15" s="2"/>
      <c r="N15" s="19">
        <f t="shared" si="1"/>
        <v>31.579242032730406</v>
      </c>
      <c r="O15" s="11"/>
      <c r="P15" s="2">
        <f>--11476.43</f>
        <v>11476.43</v>
      </c>
      <c r="Q15" s="2"/>
      <c r="R15" s="19"/>
      <c r="S15" s="2"/>
      <c r="T15" s="2">
        <f>--579.52</f>
        <v>579.52</v>
      </c>
      <c r="U15" s="2"/>
      <c r="V15" s="19"/>
      <c r="W15" s="2"/>
      <c r="X15" s="2">
        <f t="shared" si="2"/>
        <v>10896.91</v>
      </c>
      <c r="Y15" s="2"/>
      <c r="Z15" s="19">
        <f t="shared" si="3"/>
        <v>18.803337244616234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--637954.74</f>
        <v>637954.74</v>
      </c>
      <c r="E17" s="2"/>
      <c r="F17" s="19"/>
      <c r="G17" s="2"/>
      <c r="H17" s="2">
        <f>--35996.95</f>
        <v>35996.949999999997</v>
      </c>
      <c r="I17" s="2"/>
      <c r="J17" s="19"/>
      <c r="K17" s="2"/>
      <c r="L17" s="2">
        <f t="shared" si="0"/>
        <v>601957.79</v>
      </c>
      <c r="M17" s="2"/>
      <c r="N17" s="19">
        <f t="shared" si="1"/>
        <v>16.722466486744018</v>
      </c>
      <c r="O17" s="11"/>
      <c r="P17" s="2">
        <f>--6806400.41</f>
        <v>6806400.4100000001</v>
      </c>
      <c r="Q17" s="2"/>
      <c r="R17" s="19"/>
      <c r="S17" s="2"/>
      <c r="T17" s="2">
        <f>--664373.55</f>
        <v>664373.55000000005</v>
      </c>
      <c r="U17" s="2"/>
      <c r="V17" s="19"/>
      <c r="W17" s="2"/>
      <c r="X17" s="2">
        <f t="shared" si="2"/>
        <v>6142026.8600000003</v>
      </c>
      <c r="Y17" s="2"/>
      <c r="Z17" s="19">
        <f t="shared" si="3"/>
        <v>9.2448395334221232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--5015.33</f>
        <v>5015.33</v>
      </c>
      <c r="E18" s="2"/>
      <c r="F18" s="19"/>
      <c r="G18" s="2"/>
      <c r="H18" s="2">
        <f>--2207.76</f>
        <v>2207.7600000000002</v>
      </c>
      <c r="I18" s="2"/>
      <c r="J18" s="19"/>
      <c r="K18" s="2"/>
      <c r="L18" s="2">
        <f t="shared" si="0"/>
        <v>2807.5699999999997</v>
      </c>
      <c r="M18" s="2"/>
      <c r="N18" s="19">
        <f t="shared" si="1"/>
        <v>1.2716826104286696</v>
      </c>
      <c r="O18" s="11"/>
      <c r="P18" s="2">
        <f>--61481.32</f>
        <v>61481.32</v>
      </c>
      <c r="Q18" s="2"/>
      <c r="R18" s="19"/>
      <c r="S18" s="2"/>
      <c r="T18" s="2">
        <f>--31969.16</f>
        <v>31969.16</v>
      </c>
      <c r="U18" s="2"/>
      <c r="V18" s="19"/>
      <c r="W18" s="2"/>
      <c r="X18" s="2">
        <f t="shared" si="2"/>
        <v>29512.16</v>
      </c>
      <c r="Y18" s="2"/>
      <c r="Z18" s="19">
        <f t="shared" si="3"/>
        <v>0.92314468068601119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6" t="s">
        <v>256</v>
      </c>
      <c r="C20" s="10"/>
      <c r="D20" s="4">
        <f>SUM(OSRRefD16x_0)</f>
        <v>107409.64000000001</v>
      </c>
      <c r="E20" s="4"/>
      <c r="F20" s="12">
        <f t="shared" ref="F20:F22" si="4">IF(D$12=0,0,D20/D$12)</f>
        <v>0.1660478358503813</v>
      </c>
      <c r="G20" s="4"/>
      <c r="H20" s="4">
        <f>SUM(OSRRefH16x_0)</f>
        <v>33302.44</v>
      </c>
      <c r="I20" s="4"/>
      <c r="J20" s="12">
        <f t="shared" ref="J20:J22" si="5">IF(H$12=0,0,H20/H$12)</f>
        <v>0.27677164297478296</v>
      </c>
      <c r="K20" s="4"/>
      <c r="L20" s="4">
        <f t="shared" ref="L20:L22" si="6">+D20-H20</f>
        <v>74107.200000000012</v>
      </c>
      <c r="M20" s="4"/>
      <c r="N20" s="12">
        <f t="shared" ref="N20:N22" si="7">IF(H20=0,0,L20/H20)</f>
        <v>2.225278388010008</v>
      </c>
      <c r="O20" s="10"/>
      <c r="P20" s="4">
        <f>SUM(OSRRefP16x_0)</f>
        <v>1845197</v>
      </c>
      <c r="Q20" s="4"/>
      <c r="R20" s="12">
        <f t="shared" ref="R20:R22" si="8">IF(P$12=0,0,P20/P$12)</f>
        <v>0.26252257182758426</v>
      </c>
      <c r="S20" s="4"/>
      <c r="T20" s="4">
        <f>SUM(OSRRefT16x_0)</f>
        <v>303020.73</v>
      </c>
      <c r="U20" s="4"/>
      <c r="V20" s="12">
        <f t="shared" ref="V20:V22" si="9">IF(T$12=0,0,T20/T$12)</f>
        <v>0.3186208965868646</v>
      </c>
      <c r="W20" s="4"/>
      <c r="X20" s="4">
        <f t="shared" ref="X20:X22" si="10">+P20-T20</f>
        <v>1542176.27</v>
      </c>
      <c r="Y20" s="4"/>
      <c r="Z20" s="12">
        <f t="shared" ref="Z20:Z22" si="11">IF(T20=0,0,X20/T20)</f>
        <v>5.0893424684179198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143478.16</v>
      </c>
      <c r="E21" s="2"/>
      <c r="F21" s="19">
        <f t="shared" si="4"/>
        <v>0.22180726012855773</v>
      </c>
      <c r="G21" s="2"/>
      <c r="H21" s="2">
        <v>30885.439999999999</v>
      </c>
      <c r="I21" s="2"/>
      <c r="J21" s="19">
        <f t="shared" si="5"/>
        <v>0.25668431420637888</v>
      </c>
      <c r="K21" s="2"/>
      <c r="L21" s="2">
        <f t="shared" si="6"/>
        <v>112592.72</v>
      </c>
      <c r="M21" s="2"/>
      <c r="N21" s="19">
        <f t="shared" si="7"/>
        <v>3.6454950941284956</v>
      </c>
      <c r="O21" s="11"/>
      <c r="P21" s="2">
        <v>1871902.85</v>
      </c>
      <c r="Q21" s="2"/>
      <c r="R21" s="19">
        <f t="shared" si="8"/>
        <v>0.2663221056577616</v>
      </c>
      <c r="S21" s="2"/>
      <c r="T21" s="2">
        <v>300523.34999999998</v>
      </c>
      <c r="U21" s="2"/>
      <c r="V21" s="19">
        <f t="shared" si="9"/>
        <v>0.31599494602989081</v>
      </c>
      <c r="W21" s="2"/>
      <c r="X21" s="2">
        <f t="shared" si="10"/>
        <v>1571379.5</v>
      </c>
      <c r="Y21" s="2"/>
      <c r="Z21" s="19">
        <f t="shared" si="11"/>
        <v>5.2288100076083941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-36068.519999999997</v>
      </c>
      <c r="E22" s="2"/>
      <c r="F22" s="19">
        <f t="shared" si="4"/>
        <v>-5.5759424278176456E-2</v>
      </c>
      <c r="G22" s="2"/>
      <c r="H22" s="2">
        <v>2417</v>
      </c>
      <c r="I22" s="2"/>
      <c r="J22" s="19">
        <f t="shared" si="5"/>
        <v>2.0087328768404071E-2</v>
      </c>
      <c r="K22" s="2"/>
      <c r="L22" s="2">
        <f t="shared" si="6"/>
        <v>-38485.519999999997</v>
      </c>
      <c r="M22" s="2"/>
      <c r="N22" s="19">
        <f t="shared" si="7"/>
        <v>-15.922846503930492</v>
      </c>
      <c r="O22" s="11"/>
      <c r="P22" s="2">
        <v>-26705.85</v>
      </c>
      <c r="Q22" s="2"/>
      <c r="R22" s="19">
        <f t="shared" si="8"/>
        <v>-3.7995338301773148E-3</v>
      </c>
      <c r="S22" s="2"/>
      <c r="T22" s="2">
        <v>2497.38</v>
      </c>
      <c r="U22" s="2"/>
      <c r="V22" s="19">
        <f t="shared" si="9"/>
        <v>2.6259505569737889E-3</v>
      </c>
      <c r="W22" s="2"/>
      <c r="X22" s="2">
        <f t="shared" si="10"/>
        <v>-29203.23</v>
      </c>
      <c r="Y22" s="2"/>
      <c r="Z22" s="19">
        <f t="shared" si="11"/>
        <v>-11.693546837085265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5" t="s">
        <v>107</v>
      </c>
      <c r="C24" s="25"/>
      <c r="D24" s="21">
        <f>D12-D20</f>
        <v>539449.98</v>
      </c>
      <c r="E24" s="13"/>
      <c r="F24" s="22">
        <f>IF(D$12=0,0,D24/D$12)</f>
        <v>0.8339521641496187</v>
      </c>
      <c r="G24" s="13"/>
      <c r="H24" s="21">
        <f>H12-H20</f>
        <v>87022.17</v>
      </c>
      <c r="I24" s="13"/>
      <c r="J24" s="22">
        <f>IF(H$12=0,0,H24/H$12)</f>
        <v>0.72322835702521704</v>
      </c>
      <c r="K24" s="15"/>
      <c r="L24" s="21">
        <f>+D24-H24</f>
        <v>452427.81</v>
      </c>
      <c r="M24" s="15"/>
      <c r="N24" s="22">
        <f>IF(H24=0,0,L24/H24)</f>
        <v>5.1989948078748212</v>
      </c>
      <c r="O24" s="26"/>
      <c r="P24" s="21">
        <f>P12-P20</f>
        <v>5183520.5200000005</v>
      </c>
      <c r="Q24" s="13"/>
      <c r="R24" s="22">
        <f>IF(P$12=0,0,P24/P$12)</f>
        <v>0.73747742817241579</v>
      </c>
      <c r="S24" s="13"/>
      <c r="T24" s="21">
        <f>T12-T20</f>
        <v>648017.74000000011</v>
      </c>
      <c r="U24" s="13"/>
      <c r="V24" s="22">
        <f>IF(T$12=0,0,T24/T$12)</f>
        <v>0.68137910341313535</v>
      </c>
      <c r="W24" s="15"/>
      <c r="X24" s="21">
        <f>+P24-T24</f>
        <v>4535502.78</v>
      </c>
      <c r="Y24" s="15"/>
      <c r="Z24" s="22">
        <f>IF(T24=0,0,X24/T24)</f>
        <v>6.9990410756347492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6" t="s">
        <v>294</v>
      </c>
      <c r="C26" s="10"/>
      <c r="D26" s="20">
        <f>SUM(OSRRefD22x_0)</f>
        <v>521590.43000000017</v>
      </c>
      <c r="E26" s="20"/>
      <c r="F26" s="30">
        <f t="shared" ref="F26:F36" si="12">IF(D$12=0,0,D26/D$12)</f>
        <v>0.80634254152392471</v>
      </c>
      <c r="G26" s="20"/>
      <c r="H26" s="20">
        <f>SUM(OSRRefH22x_0)</f>
        <v>293889.24000000011</v>
      </c>
      <c r="I26" s="20"/>
      <c r="J26" s="30">
        <f t="shared" ref="J26:J36" si="13">IF(H$12=0,0,H26/H$12)</f>
        <v>2.442469915339847</v>
      </c>
      <c r="K26" s="4"/>
      <c r="L26" s="20">
        <f t="shared" ref="L26:L36" si="14">+D26-H26</f>
        <v>227701.19000000006</v>
      </c>
      <c r="M26" s="4"/>
      <c r="N26" s="30">
        <f t="shared" ref="N26:N36" si="15">IF(H26=0,0,L26/H26)</f>
        <v>0.77478573220305713</v>
      </c>
      <c r="O26" s="10"/>
      <c r="P26" s="20">
        <f>SUM(OSRRefP22x_0)</f>
        <v>4294975.88</v>
      </c>
      <c r="Q26" s="20"/>
      <c r="R26" s="30">
        <f t="shared" ref="R26:R36" si="16">IF(P$12=0,0,P26/P$12)</f>
        <v>0.6110611029364571</v>
      </c>
      <c r="S26" s="20"/>
      <c r="T26" s="20">
        <f>SUM(OSRRefT22x_0)</f>
        <v>2372199.2099999995</v>
      </c>
      <c r="U26" s="20"/>
      <c r="V26" s="30">
        <f t="shared" ref="V26:V36" si="17">IF(T$12=0,0,T26/T$12)</f>
        <v>2.4943251874974095</v>
      </c>
      <c r="W26" s="4"/>
      <c r="X26" s="20">
        <f t="shared" ref="X26:X36" si="18">+P26-T26</f>
        <v>1922776.6700000004</v>
      </c>
      <c r="Y26" s="4"/>
      <c r="Z26" s="30">
        <f t="shared" ref="Z26:Z36" si="19">IF(T26=0,0,X26/T26)</f>
        <v>0.81054603757329502</v>
      </c>
    </row>
    <row r="27" spans="1:26" s="29" customFormat="1" outlineLevel="1" collapsed="1" x14ac:dyDescent="0.3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127417.18000000001</v>
      </c>
      <c r="E27" s="1"/>
      <c r="F27" s="5">
        <f t="shared" si="12"/>
        <v>0.19697810167838273</v>
      </c>
      <c r="G27" s="1"/>
      <c r="H27" s="1">
        <f>SUM(OSRRefH22_0x_0)</f>
        <v>91885.720000000016</v>
      </c>
      <c r="I27" s="1"/>
      <c r="J27" s="5">
        <f t="shared" si="13"/>
        <v>0.76364860023232173</v>
      </c>
      <c r="K27" s="1"/>
      <c r="L27" s="1">
        <f t="shared" si="14"/>
        <v>35531.459999999992</v>
      </c>
      <c r="M27" s="1"/>
      <c r="N27" s="5">
        <f t="shared" si="15"/>
        <v>0.38669186028035679</v>
      </c>
      <c r="O27" s="14"/>
      <c r="P27" s="1">
        <f>SUM(OSRRefP22_0x_0)</f>
        <v>816286.07</v>
      </c>
      <c r="Q27" s="1"/>
      <c r="R27" s="5">
        <f t="shared" si="16"/>
        <v>0.11613584806577913</v>
      </c>
      <c r="S27" s="1"/>
      <c r="T27" s="1">
        <f>SUM(OSRRefT22_0x_0)</f>
        <v>689763.04</v>
      </c>
      <c r="U27" s="1"/>
      <c r="V27" s="5">
        <f t="shared" si="17"/>
        <v>0.72527354229950336</v>
      </c>
      <c r="W27" s="1"/>
      <c r="X27" s="1">
        <f t="shared" si="18"/>
        <v>126523.02999999991</v>
      </c>
      <c r="Y27" s="1"/>
      <c r="Z27" s="5">
        <f t="shared" si="19"/>
        <v>0.18342970362691499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7">
        <v>12695.37</v>
      </c>
      <c r="E28" s="2"/>
      <c r="F28" s="6">
        <f t="shared" si="12"/>
        <v>1.9626159382154663E-2</v>
      </c>
      <c r="G28" s="2"/>
      <c r="H28" s="7">
        <v>9304.4500000000007</v>
      </c>
      <c r="I28" s="2"/>
      <c r="J28" s="6">
        <f t="shared" si="13"/>
        <v>7.7327904906568989E-2</v>
      </c>
      <c r="K28" s="2"/>
      <c r="L28" s="7">
        <f t="shared" si="14"/>
        <v>3390.92</v>
      </c>
      <c r="M28" s="2"/>
      <c r="N28" s="6">
        <f t="shared" si="15"/>
        <v>0.36444067086179194</v>
      </c>
      <c r="O28" s="11"/>
      <c r="P28" s="7">
        <v>111878.04</v>
      </c>
      <c r="Q28" s="2"/>
      <c r="R28" s="6">
        <f t="shared" si="16"/>
        <v>1.5917276470658333E-2</v>
      </c>
      <c r="S28" s="2"/>
      <c r="T28" s="7">
        <v>74055.27</v>
      </c>
      <c r="U28" s="2"/>
      <c r="V28" s="6">
        <f t="shared" si="17"/>
        <v>7.7867796452019439E-2</v>
      </c>
      <c r="W28" s="2"/>
      <c r="X28" s="7">
        <f t="shared" si="18"/>
        <v>37822.76999999999</v>
      </c>
      <c r="Y28" s="2"/>
      <c r="Z28" s="6">
        <f t="shared" si="19"/>
        <v>0.51073704815335885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6049.65</v>
      </c>
      <c r="E29" s="2"/>
      <c r="F29" s="6">
        <f t="shared" si="12"/>
        <v>9.3523383017786767E-3</v>
      </c>
      <c r="G29" s="2"/>
      <c r="H29" s="7">
        <v>1086.93</v>
      </c>
      <c r="I29" s="2"/>
      <c r="J29" s="6">
        <f t="shared" si="13"/>
        <v>9.0333141324954232E-3</v>
      </c>
      <c r="K29" s="2"/>
      <c r="L29" s="7">
        <f t="shared" si="14"/>
        <v>4962.7199999999993</v>
      </c>
      <c r="M29" s="2"/>
      <c r="N29" s="6">
        <f t="shared" si="15"/>
        <v>4.5658138058568625</v>
      </c>
      <c r="O29" s="11"/>
      <c r="P29" s="7">
        <v>63011</v>
      </c>
      <c r="Q29" s="2"/>
      <c r="R29" s="6">
        <f t="shared" si="16"/>
        <v>8.9647933382874089E-3</v>
      </c>
      <c r="S29" s="2"/>
      <c r="T29" s="7">
        <v>40151</v>
      </c>
      <c r="U29" s="2"/>
      <c r="V29" s="6">
        <f t="shared" si="17"/>
        <v>4.2218060852995773E-2</v>
      </c>
      <c r="W29" s="2"/>
      <c r="X29" s="7">
        <f t="shared" si="18"/>
        <v>22860</v>
      </c>
      <c r="Y29" s="2"/>
      <c r="Z29" s="6">
        <f t="shared" si="19"/>
        <v>0.56935070110333486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7">
        <v>53812.43</v>
      </c>
      <c r="E30" s="2"/>
      <c r="F30" s="6">
        <f t="shared" si="12"/>
        <v>8.3190275503671113E-2</v>
      </c>
      <c r="G30" s="2"/>
      <c r="H30" s="7">
        <v>53968.59</v>
      </c>
      <c r="I30" s="2"/>
      <c r="J30" s="6">
        <f t="shared" si="13"/>
        <v>0.44852495262606706</v>
      </c>
      <c r="K30" s="2"/>
      <c r="L30" s="7">
        <f t="shared" si="14"/>
        <v>-156.15999999999622</v>
      </c>
      <c r="M30" s="2"/>
      <c r="N30" s="6">
        <f t="shared" si="15"/>
        <v>-2.8935349246662963E-3</v>
      </c>
      <c r="O30" s="11"/>
      <c r="P30" s="7">
        <v>387756.86</v>
      </c>
      <c r="Q30" s="2"/>
      <c r="R30" s="6">
        <f t="shared" si="16"/>
        <v>5.5167512266163739E-2</v>
      </c>
      <c r="S30" s="2"/>
      <c r="T30" s="7">
        <v>382492.37</v>
      </c>
      <c r="U30" s="2"/>
      <c r="V30" s="6">
        <f t="shared" si="17"/>
        <v>0.4021839095531014</v>
      </c>
      <c r="W30" s="2"/>
      <c r="X30" s="7">
        <f t="shared" si="18"/>
        <v>5264.4899999999907</v>
      </c>
      <c r="Y30" s="2"/>
      <c r="Z30" s="6">
        <f t="shared" si="19"/>
        <v>1.3763647102293807E-2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467.03</v>
      </c>
      <c r="E31" s="2"/>
      <c r="F31" s="6">
        <f t="shared" si="12"/>
        <v>7.2199591002449642E-4</v>
      </c>
      <c r="G31" s="2"/>
      <c r="H31" s="7">
        <v>720.37</v>
      </c>
      <c r="I31" s="2"/>
      <c r="J31" s="6">
        <f t="shared" si="13"/>
        <v>5.9868883015702272E-3</v>
      </c>
      <c r="K31" s="2"/>
      <c r="L31" s="7">
        <f t="shared" si="14"/>
        <v>-253.34000000000003</v>
      </c>
      <c r="M31" s="2"/>
      <c r="N31" s="6">
        <f t="shared" si="15"/>
        <v>-0.35168038646806504</v>
      </c>
      <c r="O31" s="11"/>
      <c r="P31" s="7">
        <v>4772.5200000000004</v>
      </c>
      <c r="Q31" s="2"/>
      <c r="R31" s="6">
        <f t="shared" si="16"/>
        <v>6.7900295984579557E-4</v>
      </c>
      <c r="S31" s="2"/>
      <c r="T31" s="7">
        <v>2874.5</v>
      </c>
      <c r="U31" s="2"/>
      <c r="V31" s="6">
        <f t="shared" si="17"/>
        <v>3.0224855152284217E-3</v>
      </c>
      <c r="W31" s="2"/>
      <c r="X31" s="7">
        <f t="shared" si="18"/>
        <v>1898.0200000000004</v>
      </c>
      <c r="Y31" s="2"/>
      <c r="Z31" s="6">
        <f t="shared" si="19"/>
        <v>0.66029570360062639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7">
        <v>7282.68</v>
      </c>
      <c r="E32" s="2"/>
      <c r="F32" s="6">
        <f t="shared" si="12"/>
        <v>1.1258516956121021E-2</v>
      </c>
      <c r="G32" s="2"/>
      <c r="H32" s="7">
        <v>9264.23</v>
      </c>
      <c r="I32" s="2"/>
      <c r="J32" s="6">
        <f t="shared" si="13"/>
        <v>7.6993642447708746E-2</v>
      </c>
      <c r="K32" s="2"/>
      <c r="L32" s="7">
        <f t="shared" si="14"/>
        <v>-1981.5499999999993</v>
      </c>
      <c r="M32" s="2"/>
      <c r="N32" s="6">
        <f t="shared" si="15"/>
        <v>-0.21389257391062175</v>
      </c>
      <c r="O32" s="11"/>
      <c r="P32" s="7">
        <v>53711.94</v>
      </c>
      <c r="Q32" s="2"/>
      <c r="R32" s="6">
        <f t="shared" si="16"/>
        <v>7.6417838456538222E-3</v>
      </c>
      <c r="S32" s="2"/>
      <c r="T32" s="7">
        <v>53178.89</v>
      </c>
      <c r="U32" s="2"/>
      <c r="V32" s="6">
        <f t="shared" si="17"/>
        <v>5.591665498031851E-2</v>
      </c>
      <c r="W32" s="2"/>
      <c r="X32" s="7">
        <f t="shared" si="18"/>
        <v>533.05000000000291</v>
      </c>
      <c r="Y32" s="2"/>
      <c r="Z32" s="6">
        <f t="shared" si="19"/>
        <v>1.0023714297158193E-2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2041.18</v>
      </c>
      <c r="E33" s="2"/>
      <c r="F33" s="6">
        <f t="shared" si="12"/>
        <v>3.1555223682071857E-3</v>
      </c>
      <c r="G33" s="2"/>
      <c r="H33" s="7">
        <v>1440.43</v>
      </c>
      <c r="I33" s="2"/>
      <c r="J33" s="6">
        <f t="shared" si="13"/>
        <v>1.1971200239086585E-2</v>
      </c>
      <c r="K33" s="2"/>
      <c r="L33" s="7">
        <f t="shared" si="14"/>
        <v>600.75</v>
      </c>
      <c r="M33" s="2"/>
      <c r="N33" s="6">
        <f t="shared" si="15"/>
        <v>0.41706296036600182</v>
      </c>
      <c r="O33" s="11"/>
      <c r="P33" s="7">
        <v>11985.41</v>
      </c>
      <c r="Q33" s="2"/>
      <c r="R33" s="6">
        <f t="shared" si="16"/>
        <v>1.7052058168358427E-3</v>
      </c>
      <c r="S33" s="2"/>
      <c r="T33" s="7">
        <v>10473.23</v>
      </c>
      <c r="U33" s="2"/>
      <c r="V33" s="6">
        <f t="shared" si="17"/>
        <v>1.101241467130136E-2</v>
      </c>
      <c r="W33" s="2"/>
      <c r="X33" s="7">
        <f t="shared" si="18"/>
        <v>1512.1800000000003</v>
      </c>
      <c r="Y33" s="2"/>
      <c r="Z33" s="6">
        <f t="shared" si="19"/>
        <v>0.14438525650635003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18800.02</v>
      </c>
      <c r="E34" s="2"/>
      <c r="F34" s="6">
        <f t="shared" si="12"/>
        <v>2.9063523860091933E-2</v>
      </c>
      <c r="G34" s="2"/>
      <c r="H34" s="7">
        <v>8969.57</v>
      </c>
      <c r="I34" s="2"/>
      <c r="J34" s="6">
        <f t="shared" si="13"/>
        <v>7.454476686024579E-2</v>
      </c>
      <c r="K34" s="2"/>
      <c r="L34" s="7">
        <f t="shared" si="14"/>
        <v>9830.4500000000007</v>
      </c>
      <c r="M34" s="2"/>
      <c r="N34" s="6">
        <f t="shared" si="15"/>
        <v>1.0959778450917939</v>
      </c>
      <c r="O34" s="11"/>
      <c r="P34" s="7">
        <v>82634.92</v>
      </c>
      <c r="Q34" s="2"/>
      <c r="R34" s="6">
        <f t="shared" si="16"/>
        <v>1.1756756444524178E-2</v>
      </c>
      <c r="S34" s="2"/>
      <c r="T34" s="7">
        <v>65122.87</v>
      </c>
      <c r="U34" s="2"/>
      <c r="V34" s="6">
        <f t="shared" si="17"/>
        <v>6.8475537062133773E-2</v>
      </c>
      <c r="W34" s="2"/>
      <c r="X34" s="7">
        <f t="shared" si="18"/>
        <v>17512.049999999996</v>
      </c>
      <c r="Y34" s="2"/>
      <c r="Z34" s="6">
        <f t="shared" si="19"/>
        <v>0.26890783529657086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22508.61</v>
      </c>
      <c r="E35" s="2"/>
      <c r="F35" s="6">
        <f t="shared" si="12"/>
        <v>3.4796746162637268E-2</v>
      </c>
      <c r="G35" s="2"/>
      <c r="H35" s="7">
        <v>5594.46</v>
      </c>
      <c r="I35" s="2"/>
      <c r="J35" s="6">
        <f t="shared" si="13"/>
        <v>4.649472788650634E-2</v>
      </c>
      <c r="K35" s="2"/>
      <c r="L35" s="7">
        <f t="shared" si="14"/>
        <v>16914.150000000001</v>
      </c>
      <c r="M35" s="2"/>
      <c r="N35" s="6">
        <f t="shared" si="15"/>
        <v>3.0233749101789988</v>
      </c>
      <c r="O35" s="11"/>
      <c r="P35" s="7">
        <v>67604.83</v>
      </c>
      <c r="Q35" s="2"/>
      <c r="R35" s="6">
        <f t="shared" si="16"/>
        <v>9.6183734525726108E-3</v>
      </c>
      <c r="S35" s="2"/>
      <c r="T35" s="7">
        <v>41618.25</v>
      </c>
      <c r="U35" s="2"/>
      <c r="V35" s="6">
        <f t="shared" si="17"/>
        <v>4.376084807589329E-2</v>
      </c>
      <c r="W35" s="2"/>
      <c r="X35" s="7">
        <f t="shared" si="18"/>
        <v>25986.58</v>
      </c>
      <c r="Y35" s="2"/>
      <c r="Z35" s="6">
        <f t="shared" si="19"/>
        <v>0.62440347684008823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3760.21</v>
      </c>
      <c r="E36" s="2"/>
      <c r="F36" s="6">
        <f t="shared" si="12"/>
        <v>5.8130232336963622E-3</v>
      </c>
      <c r="G36" s="2"/>
      <c r="H36" s="7">
        <v>1536.69</v>
      </c>
      <c r="I36" s="2"/>
      <c r="J36" s="6">
        <f t="shared" si="13"/>
        <v>1.2771202832072342E-2</v>
      </c>
      <c r="K36" s="2"/>
      <c r="L36" s="7">
        <f t="shared" si="14"/>
        <v>2223.52</v>
      </c>
      <c r="M36" s="2"/>
      <c r="N36" s="6">
        <f t="shared" si="15"/>
        <v>1.4469541677241342</v>
      </c>
      <c r="O36" s="11"/>
      <c r="P36" s="7">
        <v>32930.550000000003</v>
      </c>
      <c r="Q36" s="2"/>
      <c r="R36" s="6">
        <f t="shared" si="16"/>
        <v>4.6851434712374103E-3</v>
      </c>
      <c r="S36" s="2"/>
      <c r="T36" s="7">
        <v>19796.66</v>
      </c>
      <c r="U36" s="2"/>
      <c r="V36" s="6">
        <f t="shared" si="17"/>
        <v>2.0815835136511352E-2</v>
      </c>
      <c r="W36" s="2"/>
      <c r="X36" s="7">
        <f t="shared" si="18"/>
        <v>13133.890000000003</v>
      </c>
      <c r="Y36" s="2"/>
      <c r="Z36" s="6">
        <f t="shared" si="19"/>
        <v>0.66343969134187297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235141.97999999995</v>
      </c>
      <c r="E37" s="1"/>
      <c r="F37" s="5">
        <f t="shared" ref="F37:F43" si="20">IF(D$12=0,0,D37/D$12)</f>
        <v>0.3635131529774574</v>
      </c>
      <c r="G37" s="1"/>
      <c r="H37" s="1">
        <f>SUM(OSRRefH22_1x_0)</f>
        <v>136745.51999999999</v>
      </c>
      <c r="I37" s="1"/>
      <c r="J37" s="5">
        <f t="shared" ref="J37:J43" si="21">IF(H$12=0,0,H37/H$12)</f>
        <v>1.1364717492124012</v>
      </c>
      <c r="K37" s="1"/>
      <c r="L37" s="1">
        <f t="shared" ref="L37:L43" si="22">+D37-H37</f>
        <v>98396.459999999963</v>
      </c>
      <c r="M37" s="1"/>
      <c r="N37" s="5">
        <f t="shared" ref="N37:N43" si="23">IF(H37=0,0,L37/H37)</f>
        <v>0.71955892960880885</v>
      </c>
      <c r="O37" s="14"/>
      <c r="P37" s="1">
        <f>SUM(OSRRefP22_1x_0)</f>
        <v>1960655.1300000001</v>
      </c>
      <c r="Q37" s="1"/>
      <c r="R37" s="5">
        <f t="shared" ref="R37:R43" si="24">IF(P$12=0,0,P37/P$12)</f>
        <v>0.27894920010955282</v>
      </c>
      <c r="S37" s="1"/>
      <c r="T37" s="1">
        <f>SUM(OSRRefT22_1x_0)</f>
        <v>956193.19000000006</v>
      </c>
      <c r="U37" s="1"/>
      <c r="V37" s="5">
        <f t="shared" ref="V37:V43" si="25">IF(T$12=0,0,T37/T$12)</f>
        <v>1.0054200962028381</v>
      </c>
      <c r="W37" s="1"/>
      <c r="X37" s="1">
        <f t="shared" ref="X37:X43" si="26">+P37-T37</f>
        <v>1004461.9400000001</v>
      </c>
      <c r="Y37" s="1"/>
      <c r="Z37" s="5">
        <f t="shared" ref="Z37:Z43" si="27">IF(T37=0,0,X37/T37)</f>
        <v>1.050480123164232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24173.39</v>
      </c>
      <c r="E38" s="2"/>
      <c r="F38" s="6">
        <f t="shared" si="20"/>
        <v>3.7370380299824556E-2</v>
      </c>
      <c r="G38" s="2"/>
      <c r="H38" s="7">
        <v>24737.84</v>
      </c>
      <c r="I38" s="2"/>
      <c r="J38" s="6">
        <f t="shared" si="21"/>
        <v>0.20559252176258871</v>
      </c>
      <c r="K38" s="2"/>
      <c r="L38" s="7">
        <f t="shared" si="22"/>
        <v>-564.45000000000073</v>
      </c>
      <c r="M38" s="2"/>
      <c r="N38" s="6">
        <f t="shared" si="23"/>
        <v>-2.2817271030938866E-2</v>
      </c>
      <c r="O38" s="11"/>
      <c r="P38" s="7">
        <v>143789.35999999999</v>
      </c>
      <c r="Q38" s="2"/>
      <c r="R38" s="6">
        <f t="shared" si="24"/>
        <v>2.0457410557594861E-2</v>
      </c>
      <c r="S38" s="2"/>
      <c r="T38" s="7">
        <v>140726.9</v>
      </c>
      <c r="U38" s="2"/>
      <c r="V38" s="6">
        <f t="shared" si="25"/>
        <v>0.14797182704922546</v>
      </c>
      <c r="W38" s="2"/>
      <c r="X38" s="7">
        <f t="shared" si="26"/>
        <v>3062.4599999999919</v>
      </c>
      <c r="Y38" s="2"/>
      <c r="Z38" s="6">
        <f t="shared" si="27"/>
        <v>2.1761724304308502E-2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63640.67</v>
      </c>
      <c r="E39" s="2"/>
      <c r="F39" s="6">
        <f t="shared" si="20"/>
        <v>9.8384051241287865E-2</v>
      </c>
      <c r="G39" s="2"/>
      <c r="H39" s="7">
        <v>46627.77</v>
      </c>
      <c r="I39" s="2"/>
      <c r="J39" s="6">
        <f t="shared" si="21"/>
        <v>0.38751648561337532</v>
      </c>
      <c r="K39" s="2"/>
      <c r="L39" s="7">
        <f t="shared" si="22"/>
        <v>17012.900000000001</v>
      </c>
      <c r="M39" s="2"/>
      <c r="N39" s="6">
        <f t="shared" si="23"/>
        <v>0.36486625888392266</v>
      </c>
      <c r="O39" s="11"/>
      <c r="P39" s="7">
        <v>423338.48</v>
      </c>
      <c r="Q39" s="2"/>
      <c r="R39" s="6">
        <f t="shared" si="24"/>
        <v>6.0229832653738512E-2</v>
      </c>
      <c r="S39" s="2"/>
      <c r="T39" s="7">
        <v>309506.53000000003</v>
      </c>
      <c r="U39" s="2"/>
      <c r="V39" s="6">
        <f t="shared" si="25"/>
        <v>0.32544059968467942</v>
      </c>
      <c r="W39" s="2"/>
      <c r="X39" s="7">
        <f t="shared" si="26"/>
        <v>113831.94999999995</v>
      </c>
      <c r="Y39" s="2"/>
      <c r="Z39" s="6">
        <f t="shared" si="27"/>
        <v>0.36778529357684292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7">
        <v>61086.71</v>
      </c>
      <c r="E40" s="2"/>
      <c r="F40" s="6">
        <f t="shared" si="20"/>
        <v>9.4435806643796999E-2</v>
      </c>
      <c r="G40" s="2"/>
      <c r="H40" s="7">
        <v>38541.379999999997</v>
      </c>
      <c r="I40" s="2"/>
      <c r="J40" s="6">
        <f t="shared" si="21"/>
        <v>0.32031169683408905</v>
      </c>
      <c r="K40" s="2"/>
      <c r="L40" s="7">
        <f t="shared" si="22"/>
        <v>22545.33</v>
      </c>
      <c r="M40" s="2"/>
      <c r="N40" s="6">
        <f t="shared" si="23"/>
        <v>0.58496426438285298</v>
      </c>
      <c r="O40" s="11"/>
      <c r="P40" s="7">
        <v>578387.66</v>
      </c>
      <c r="Q40" s="2"/>
      <c r="R40" s="6">
        <f t="shared" si="24"/>
        <v>8.2289216824294853E-2</v>
      </c>
      <c r="S40" s="2"/>
      <c r="T40" s="7">
        <v>334382.77</v>
      </c>
      <c r="U40" s="2"/>
      <c r="V40" s="6">
        <f t="shared" si="25"/>
        <v>0.35159752265331601</v>
      </c>
      <c r="W40" s="2"/>
      <c r="X40" s="7">
        <f t="shared" si="26"/>
        <v>244004.89</v>
      </c>
      <c r="Y40" s="2"/>
      <c r="Z40" s="6">
        <f t="shared" si="27"/>
        <v>0.72971729374692362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20998.52</v>
      </c>
      <c r="E41" s="2"/>
      <c r="F41" s="6">
        <f t="shared" si="20"/>
        <v>3.2462252010722205E-2</v>
      </c>
      <c r="G41" s="2"/>
      <c r="H41" s="7">
        <v>8579.9500000000007</v>
      </c>
      <c r="I41" s="2"/>
      <c r="J41" s="6">
        <f t="shared" si="21"/>
        <v>7.1306692787119777E-2</v>
      </c>
      <c r="K41" s="2"/>
      <c r="L41" s="7">
        <f t="shared" si="22"/>
        <v>12418.57</v>
      </c>
      <c r="M41" s="2"/>
      <c r="N41" s="6">
        <f t="shared" si="23"/>
        <v>1.4473942155840067</v>
      </c>
      <c r="O41" s="11"/>
      <c r="P41" s="7">
        <v>332428.65999999997</v>
      </c>
      <c r="Q41" s="2"/>
      <c r="R41" s="6">
        <f t="shared" si="24"/>
        <v>4.7295777509066828E-2</v>
      </c>
      <c r="S41" s="2"/>
      <c r="T41" s="7">
        <v>73480.39</v>
      </c>
      <c r="U41" s="2"/>
      <c r="V41" s="6">
        <f t="shared" si="25"/>
        <v>7.7263320378617273E-2</v>
      </c>
      <c r="W41" s="2"/>
      <c r="X41" s="7">
        <f t="shared" si="26"/>
        <v>258948.26999999996</v>
      </c>
      <c r="Y41" s="2"/>
      <c r="Z41" s="6">
        <f t="shared" si="27"/>
        <v>3.5240459393315682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7">
        <v>56501.36</v>
      </c>
      <c r="E42" s="2"/>
      <c r="F42" s="6">
        <f t="shared" si="20"/>
        <v>8.7347174337455161E-2</v>
      </c>
      <c r="G42" s="2"/>
      <c r="H42" s="7">
        <v>18258.580000000002</v>
      </c>
      <c r="I42" s="2"/>
      <c r="J42" s="6">
        <f t="shared" si="21"/>
        <v>0.15174435221522847</v>
      </c>
      <c r="K42" s="2"/>
      <c r="L42" s="7">
        <f t="shared" si="22"/>
        <v>38242.78</v>
      </c>
      <c r="M42" s="2"/>
      <c r="N42" s="6">
        <f t="shared" si="23"/>
        <v>2.0945100878600633</v>
      </c>
      <c r="O42" s="11"/>
      <c r="P42" s="7">
        <v>398569.63</v>
      </c>
      <c r="Q42" s="2"/>
      <c r="R42" s="6">
        <f t="shared" si="24"/>
        <v>5.6705882526347423E-2</v>
      </c>
      <c r="S42" s="2"/>
      <c r="T42" s="7">
        <v>87465.72</v>
      </c>
      <c r="U42" s="2"/>
      <c r="V42" s="6">
        <f t="shared" si="25"/>
        <v>9.1968645600634849E-2</v>
      </c>
      <c r="W42" s="2"/>
      <c r="X42" s="7">
        <f t="shared" si="26"/>
        <v>311103.91000000003</v>
      </c>
      <c r="Y42" s="2"/>
      <c r="Z42" s="6">
        <f t="shared" si="27"/>
        <v>3.5568667359052211</v>
      </c>
    </row>
    <row r="43" spans="1:26" s="24" customFormat="1" hidden="1" outlineLevel="2" x14ac:dyDescent="0.3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>
        <v>8741.33</v>
      </c>
      <c r="E43" s="2"/>
      <c r="F43" s="6">
        <f t="shared" si="20"/>
        <v>1.3513488444370666E-2</v>
      </c>
      <c r="G43" s="2"/>
      <c r="H43" s="7"/>
      <c r="I43" s="2"/>
      <c r="J43" s="6">
        <f t="shared" si="21"/>
        <v>0</v>
      </c>
      <c r="K43" s="2"/>
      <c r="L43" s="7">
        <f t="shared" si="22"/>
        <v>8741.33</v>
      </c>
      <c r="M43" s="2"/>
      <c r="N43" s="6">
        <f t="shared" si="23"/>
        <v>0</v>
      </c>
      <c r="O43" s="11"/>
      <c r="P43" s="7">
        <v>84141.34</v>
      </c>
      <c r="Q43" s="2"/>
      <c r="R43" s="6">
        <f t="shared" si="24"/>
        <v>1.1971080038510353E-2</v>
      </c>
      <c r="S43" s="2"/>
      <c r="T43" s="7">
        <v>10630.88</v>
      </c>
      <c r="U43" s="2"/>
      <c r="V43" s="6">
        <f t="shared" si="25"/>
        <v>1.1178180836365114E-2</v>
      </c>
      <c r="W43" s="2"/>
      <c r="X43" s="7">
        <f t="shared" si="26"/>
        <v>73510.459999999992</v>
      </c>
      <c r="Y43" s="2"/>
      <c r="Z43" s="6">
        <f t="shared" si="27"/>
        <v>6.9148047950875187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485.5</v>
      </c>
      <c r="E44" s="1"/>
      <c r="F44" s="5">
        <f t="shared" ref="F44:F52" si="28">IF(D$12=0,0,D44/D$12)</f>
        <v>7.5054924590902739E-4</v>
      </c>
      <c r="G44" s="1"/>
      <c r="H44" s="1">
        <f>SUM(OSRRefH22_2x_0)</f>
        <v>21.57</v>
      </c>
      <c r="I44" s="1"/>
      <c r="J44" s="5">
        <f t="shared" ref="J44:J52" si="29">IF(H$12=0,0,H44/H$12)</f>
        <v>1.792650730386743E-4</v>
      </c>
      <c r="K44" s="1"/>
      <c r="L44" s="1">
        <f t="shared" ref="L44:L52" si="30">+D44-H44</f>
        <v>463.93</v>
      </c>
      <c r="M44" s="1"/>
      <c r="N44" s="5">
        <f t="shared" ref="N44:N52" si="31">IF(H44=0,0,L44/H44)</f>
        <v>21.508113120074178</v>
      </c>
      <c r="O44" s="14"/>
      <c r="P44" s="1">
        <f>SUM(OSRRefP22_2x_0)</f>
        <v>4596.3599999999997</v>
      </c>
      <c r="Q44" s="1"/>
      <c r="R44" s="5">
        <f t="shared" ref="R44:R52" si="32">IF(P$12=0,0,P44/P$12)</f>
        <v>6.5394006615306392E-4</v>
      </c>
      <c r="S44" s="1"/>
      <c r="T44" s="1">
        <f>SUM(OSRRefT22_2x_0)</f>
        <v>1584.52</v>
      </c>
      <c r="U44" s="1"/>
      <c r="V44" s="5">
        <f t="shared" ref="V44:V52" si="33">IF(T$12=0,0,T44/T$12)</f>
        <v>1.666094537689942E-3</v>
      </c>
      <c r="W44" s="1"/>
      <c r="X44" s="1">
        <f t="shared" ref="X44:X52" si="34">+P44-T44</f>
        <v>3011.8399999999997</v>
      </c>
      <c r="Y44" s="1"/>
      <c r="Z44" s="5">
        <f t="shared" ref="Z44:Z52" si="35">IF(T44=0,0,X44/T44)</f>
        <v>1.9007901446494835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7">
        <v>485.5</v>
      </c>
      <c r="E45" s="2"/>
      <c r="F45" s="6">
        <f t="shared" si="28"/>
        <v>7.5054924590902739E-4</v>
      </c>
      <c r="G45" s="2"/>
      <c r="H45" s="7">
        <v>21.57</v>
      </c>
      <c r="I45" s="2"/>
      <c r="J45" s="6">
        <f t="shared" si="29"/>
        <v>1.792650730386743E-4</v>
      </c>
      <c r="K45" s="2"/>
      <c r="L45" s="7">
        <f t="shared" si="30"/>
        <v>463.93</v>
      </c>
      <c r="M45" s="2"/>
      <c r="N45" s="6">
        <f t="shared" si="31"/>
        <v>21.508113120074178</v>
      </c>
      <c r="O45" s="11"/>
      <c r="P45" s="7">
        <v>4596.3599999999997</v>
      </c>
      <c r="Q45" s="2"/>
      <c r="R45" s="6">
        <f t="shared" si="32"/>
        <v>6.5394006615306392E-4</v>
      </c>
      <c r="S45" s="2"/>
      <c r="T45" s="7">
        <v>1584.52</v>
      </c>
      <c r="U45" s="2"/>
      <c r="V45" s="6">
        <f t="shared" si="33"/>
        <v>1.666094537689942E-3</v>
      </c>
      <c r="W45" s="2"/>
      <c r="X45" s="7">
        <f t="shared" si="34"/>
        <v>3011.8399999999997</v>
      </c>
      <c r="Y45" s="2"/>
      <c r="Z45" s="6">
        <f t="shared" si="35"/>
        <v>1.9007901446494835</v>
      </c>
    </row>
    <row r="46" spans="1:26" s="29" customFormat="1" outlineLevel="1" collapsed="1" x14ac:dyDescent="0.3">
      <c r="A46" s="28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16.059999999999999</v>
      </c>
      <c r="E46" s="1"/>
      <c r="F46" s="5">
        <f t="shared" si="28"/>
        <v>2.4827643438308915E-5</v>
      </c>
      <c r="G46" s="1"/>
      <c r="H46" s="1">
        <f>SUM(OSRRefH22_3x_0)</f>
        <v>0</v>
      </c>
      <c r="I46" s="1"/>
      <c r="J46" s="5">
        <f t="shared" si="29"/>
        <v>0</v>
      </c>
      <c r="K46" s="1"/>
      <c r="L46" s="1">
        <f t="shared" si="30"/>
        <v>16.059999999999999</v>
      </c>
      <c r="M46" s="1"/>
      <c r="N46" s="5">
        <f t="shared" si="31"/>
        <v>0</v>
      </c>
      <c r="O46" s="14"/>
      <c r="P46" s="1">
        <f>SUM(OSRRefP22_3x_0)</f>
        <v>-88.75</v>
      </c>
      <c r="Q46" s="1"/>
      <c r="R46" s="5">
        <f t="shared" si="32"/>
        <v>-1.2626770068289784E-5</v>
      </c>
      <c r="S46" s="1"/>
      <c r="T46" s="1">
        <f>SUM(OSRRefT22_3x_0)</f>
        <v>78.53</v>
      </c>
      <c r="U46" s="1"/>
      <c r="V46" s="5">
        <f t="shared" si="33"/>
        <v>8.2572895289924494E-5</v>
      </c>
      <c r="W46" s="1"/>
      <c r="X46" s="1">
        <f t="shared" si="34"/>
        <v>-167.28</v>
      </c>
      <c r="Y46" s="1"/>
      <c r="Z46" s="5">
        <f t="shared" si="35"/>
        <v>-2.1301413472558259</v>
      </c>
    </row>
    <row r="47" spans="1:26" s="24" customFormat="1" hidden="1" outlineLevel="2" x14ac:dyDescent="0.3">
      <c r="A47" s="27"/>
      <c r="B47" s="11" t="str">
        <f>CONCATENATE("          ", "6272", " - ", "CASH (OVER/SHORT)")</f>
        <v xml:space="preserve">          6272 - CASH (OVER/SHORT)</v>
      </c>
      <c r="C47" s="11"/>
      <c r="D47" s="7">
        <v>16.059999999999999</v>
      </c>
      <c r="E47" s="2"/>
      <c r="F47" s="6">
        <f t="shared" si="28"/>
        <v>2.4827643438308915E-5</v>
      </c>
      <c r="G47" s="2"/>
      <c r="H47" s="7"/>
      <c r="I47" s="2"/>
      <c r="J47" s="6">
        <f t="shared" si="29"/>
        <v>0</v>
      </c>
      <c r="K47" s="2"/>
      <c r="L47" s="7">
        <f t="shared" si="30"/>
        <v>16.059999999999999</v>
      </c>
      <c r="M47" s="2"/>
      <c r="N47" s="6">
        <f t="shared" si="31"/>
        <v>0</v>
      </c>
      <c r="O47" s="11"/>
      <c r="P47" s="7">
        <v>-88.75</v>
      </c>
      <c r="Q47" s="2"/>
      <c r="R47" s="6">
        <f t="shared" si="32"/>
        <v>-1.2626770068289784E-5</v>
      </c>
      <c r="S47" s="2"/>
      <c r="T47" s="7">
        <v>78.53</v>
      </c>
      <c r="U47" s="2"/>
      <c r="V47" s="6">
        <f t="shared" si="33"/>
        <v>8.2572895289924494E-5</v>
      </c>
      <c r="W47" s="2"/>
      <c r="X47" s="7">
        <f t="shared" si="34"/>
        <v>-167.28</v>
      </c>
      <c r="Y47" s="2"/>
      <c r="Z47" s="6">
        <f t="shared" si="35"/>
        <v>-2.1301413472558259</v>
      </c>
    </row>
    <row r="48" spans="1:26" s="29" customFormat="1" outlineLevel="1" collapsed="1" x14ac:dyDescent="0.3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605.08000000000004</v>
      </c>
      <c r="E48" s="1"/>
      <c r="F48" s="5">
        <f t="shared" si="28"/>
        <v>9.3541161218256292E-4</v>
      </c>
      <c r="G48" s="1"/>
      <c r="H48" s="1">
        <f>SUM(OSRRefH22_4x_0)</f>
        <v>747.89</v>
      </c>
      <c r="I48" s="1"/>
      <c r="J48" s="5">
        <f t="shared" si="29"/>
        <v>6.2156029427396439E-3</v>
      </c>
      <c r="K48" s="1"/>
      <c r="L48" s="1">
        <f t="shared" si="30"/>
        <v>-142.80999999999995</v>
      </c>
      <c r="M48" s="1"/>
      <c r="N48" s="5">
        <f t="shared" si="31"/>
        <v>-0.19095054085493848</v>
      </c>
      <c r="O48" s="14"/>
      <c r="P48" s="1">
        <f>SUM(OSRRefP22_4x_0)</f>
        <v>23998.63</v>
      </c>
      <c r="Q48" s="1"/>
      <c r="R48" s="5">
        <f t="shared" si="32"/>
        <v>3.4143682587488592E-3</v>
      </c>
      <c r="S48" s="1"/>
      <c r="T48" s="1">
        <f>SUM(OSRRefT22_4x_0)</f>
        <v>4037.85</v>
      </c>
      <c r="U48" s="1"/>
      <c r="V48" s="5">
        <f t="shared" si="33"/>
        <v>4.2457273048060818E-3</v>
      </c>
      <c r="W48" s="1"/>
      <c r="X48" s="1">
        <f t="shared" si="34"/>
        <v>19960.780000000002</v>
      </c>
      <c r="Y48" s="1"/>
      <c r="Z48" s="5">
        <f t="shared" si="35"/>
        <v>4.9434179080451237</v>
      </c>
    </row>
    <row r="49" spans="1:26" s="24" customFormat="1" hidden="1" outlineLevel="2" x14ac:dyDescent="0.3">
      <c r="A49" s="27"/>
      <c r="B49" s="11" t="str">
        <f>CONCATENATE("          ", "6381", " - ", "BANK/CREDIT CARD FEES")</f>
        <v xml:space="preserve">          6381 - BANK/CREDIT CARD FEES</v>
      </c>
      <c r="C49" s="11"/>
      <c r="D49" s="7">
        <v>605.08000000000004</v>
      </c>
      <c r="E49" s="2"/>
      <c r="F49" s="6">
        <f t="shared" si="28"/>
        <v>9.3541161218256292E-4</v>
      </c>
      <c r="G49" s="2"/>
      <c r="H49" s="7">
        <v>747.89</v>
      </c>
      <c r="I49" s="2"/>
      <c r="J49" s="6">
        <f t="shared" si="29"/>
        <v>6.2156029427396439E-3</v>
      </c>
      <c r="K49" s="2"/>
      <c r="L49" s="7">
        <f t="shared" si="30"/>
        <v>-142.80999999999995</v>
      </c>
      <c r="M49" s="2"/>
      <c r="N49" s="6">
        <f t="shared" si="31"/>
        <v>-0.19095054085493848</v>
      </c>
      <c r="O49" s="11"/>
      <c r="P49" s="7">
        <v>23998.63</v>
      </c>
      <c r="Q49" s="2"/>
      <c r="R49" s="6">
        <f t="shared" si="32"/>
        <v>3.4143682587488592E-3</v>
      </c>
      <c r="S49" s="2"/>
      <c r="T49" s="7">
        <v>4037.85</v>
      </c>
      <c r="U49" s="2"/>
      <c r="V49" s="6">
        <f t="shared" si="33"/>
        <v>4.2457273048060818E-3</v>
      </c>
      <c r="W49" s="2"/>
      <c r="X49" s="7">
        <f t="shared" si="34"/>
        <v>19960.780000000002</v>
      </c>
      <c r="Y49" s="2"/>
      <c r="Z49" s="6">
        <f t="shared" si="35"/>
        <v>4.9434179080451237</v>
      </c>
    </row>
    <row r="50" spans="1:26" s="29" customFormat="1" outlineLevel="1" collapsed="1" x14ac:dyDescent="0.3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33542.080000000002</v>
      </c>
      <c r="E50" s="1"/>
      <c r="F50" s="5">
        <f t="shared" si="28"/>
        <v>5.1853723687374398E-2</v>
      </c>
      <c r="G50" s="1"/>
      <c r="H50" s="1">
        <f>SUM(OSRRefH22_5x_0)</f>
        <v>37479.26</v>
      </c>
      <c r="I50" s="1"/>
      <c r="J50" s="5">
        <f t="shared" si="29"/>
        <v>0.31148457493442117</v>
      </c>
      <c r="K50" s="1"/>
      <c r="L50" s="1">
        <f t="shared" si="30"/>
        <v>-3937.1800000000003</v>
      </c>
      <c r="M50" s="1"/>
      <c r="N50" s="5">
        <f t="shared" si="31"/>
        <v>-0.10504956608001333</v>
      </c>
      <c r="O50" s="14"/>
      <c r="P50" s="1">
        <f>SUM(OSRRefP22_5x_0)</f>
        <v>234882.7</v>
      </c>
      <c r="Q50" s="1"/>
      <c r="R50" s="5">
        <f t="shared" si="32"/>
        <v>3.3417575728665785E-2</v>
      </c>
      <c r="S50" s="1"/>
      <c r="T50" s="1">
        <f>SUM(OSRRefT22_5x_0)</f>
        <v>264649.90000000002</v>
      </c>
      <c r="U50" s="1"/>
      <c r="V50" s="5">
        <f t="shared" si="33"/>
        <v>0.27827465275931479</v>
      </c>
      <c r="W50" s="1"/>
      <c r="X50" s="1">
        <f t="shared" si="34"/>
        <v>-29767.200000000012</v>
      </c>
      <c r="Y50" s="1"/>
      <c r="Z50" s="5">
        <f t="shared" si="35"/>
        <v>-0.11247765444082922</v>
      </c>
    </row>
    <row r="51" spans="1:26" s="24" customFormat="1" hidden="1" outlineLevel="2" x14ac:dyDescent="0.3">
      <c r="A51" s="27"/>
      <c r="B51" s="11" t="str">
        <f>CONCATENATE("          ", "6321", " - ", "BUILDING DEPRECIATION")</f>
        <v xml:space="preserve">          6321 - BUILDING DEPRECIATION</v>
      </c>
      <c r="C51" s="11"/>
      <c r="D51" s="7">
        <v>23539.4</v>
      </c>
      <c r="E51" s="2"/>
      <c r="F51" s="6">
        <f t="shared" si="28"/>
        <v>3.6390275837592093E-2</v>
      </c>
      <c r="G51" s="2"/>
      <c r="H51" s="7">
        <v>23583.49</v>
      </c>
      <c r="I51" s="2"/>
      <c r="J51" s="6">
        <f t="shared" si="29"/>
        <v>0.19599889000263537</v>
      </c>
      <c r="K51" s="2"/>
      <c r="L51" s="7">
        <f t="shared" si="30"/>
        <v>-44.090000000000146</v>
      </c>
      <c r="M51" s="2"/>
      <c r="N51" s="6">
        <f t="shared" si="31"/>
        <v>-1.8695282165616769E-3</v>
      </c>
      <c r="O51" s="11"/>
      <c r="P51" s="7">
        <v>164863.94</v>
      </c>
      <c r="Q51" s="2"/>
      <c r="R51" s="6">
        <f t="shared" si="32"/>
        <v>2.3455764089378283E-2</v>
      </c>
      <c r="S51" s="2"/>
      <c r="T51" s="7">
        <v>165868.62</v>
      </c>
      <c r="U51" s="2"/>
      <c r="V51" s="6">
        <f t="shared" si="33"/>
        <v>0.17440789750597574</v>
      </c>
      <c r="W51" s="2"/>
      <c r="X51" s="7">
        <f t="shared" si="34"/>
        <v>-1004.679999999993</v>
      </c>
      <c r="Y51" s="2"/>
      <c r="Z51" s="6">
        <f t="shared" si="35"/>
        <v>-6.0570830094323633E-3</v>
      </c>
    </row>
    <row r="52" spans="1:26" s="24" customFormat="1" hidden="1" outlineLevel="2" x14ac:dyDescent="0.3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10002.68</v>
      </c>
      <c r="E52" s="2"/>
      <c r="F52" s="6">
        <f t="shared" si="28"/>
        <v>1.5463447849782307E-2</v>
      </c>
      <c r="G52" s="2"/>
      <c r="H52" s="7">
        <v>13895.77</v>
      </c>
      <c r="I52" s="2"/>
      <c r="J52" s="6">
        <f t="shared" si="29"/>
        <v>0.11548568493178578</v>
      </c>
      <c r="K52" s="2"/>
      <c r="L52" s="7">
        <f t="shared" si="30"/>
        <v>-3893.09</v>
      </c>
      <c r="M52" s="2"/>
      <c r="N52" s="6">
        <f t="shared" si="31"/>
        <v>-0.28016367570850698</v>
      </c>
      <c r="O52" s="11"/>
      <c r="P52" s="7">
        <v>70018.759999999995</v>
      </c>
      <c r="Q52" s="2"/>
      <c r="R52" s="6">
        <f t="shared" si="32"/>
        <v>9.9618116392875024E-3</v>
      </c>
      <c r="S52" s="2"/>
      <c r="T52" s="7">
        <v>98781.28</v>
      </c>
      <c r="U52" s="2"/>
      <c r="V52" s="6">
        <f t="shared" si="33"/>
        <v>0.10386675525333901</v>
      </c>
      <c r="W52" s="2"/>
      <c r="X52" s="7">
        <f t="shared" si="34"/>
        <v>-28762.520000000004</v>
      </c>
      <c r="Y52" s="2"/>
      <c r="Z52" s="6">
        <f t="shared" si="35"/>
        <v>-0.29117379325313464</v>
      </c>
    </row>
    <row r="53" spans="1:26" s="29" customFormat="1" outlineLevel="1" collapsed="1" x14ac:dyDescent="0.3">
      <c r="A53" s="28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SUM(OSRRefD22_6x_0)</f>
        <v>4031.65</v>
      </c>
      <c r="E53" s="1"/>
      <c r="F53" s="5">
        <f t="shared" ref="F53:F74" si="36">IF(D$12=0,0,D53/D$12)</f>
        <v>6.2326506019961493E-3</v>
      </c>
      <c r="G53" s="1"/>
      <c r="H53" s="1">
        <f>SUM(OSRRefH22_6x_0)</f>
        <v>1459.14</v>
      </c>
      <c r="I53" s="1"/>
      <c r="J53" s="5">
        <f t="shared" ref="J53:J74" si="37">IF(H$12=0,0,H53/H$12)</f>
        <v>1.2126696276015356E-2</v>
      </c>
      <c r="K53" s="1"/>
      <c r="L53" s="1">
        <f t="shared" ref="L53:L74" si="38">+D53-H53</f>
        <v>2572.5100000000002</v>
      </c>
      <c r="M53" s="1"/>
      <c r="N53" s="5">
        <f t="shared" ref="N53:N74" si="39">IF(H53=0,0,L53/H53)</f>
        <v>1.763031648779418</v>
      </c>
      <c r="O53" s="14"/>
      <c r="P53" s="1">
        <f>SUM(OSRRefP22_6x_0)</f>
        <v>40626.65</v>
      </c>
      <c r="Q53" s="1"/>
      <c r="R53" s="5">
        <f t="shared" ref="R53:R74" si="40">IF(P$12=0,0,P53/P$12)</f>
        <v>5.7800942895198321E-3</v>
      </c>
      <c r="S53" s="1"/>
      <c r="T53" s="1">
        <f>SUM(OSRRefT22_6x_0)</f>
        <v>38281.15</v>
      </c>
      <c r="U53" s="1"/>
      <c r="V53" s="5">
        <f t="shared" ref="V53:V74" si="41">IF(T$12=0,0,T53/T$12)</f>
        <v>4.0251946905996344E-2</v>
      </c>
      <c r="W53" s="1"/>
      <c r="X53" s="1">
        <f t="shared" ref="X53:X74" si="42">+P53-T53</f>
        <v>2345.5</v>
      </c>
      <c r="Y53" s="1"/>
      <c r="Z53" s="5">
        <f t="shared" ref="Z53:Z74" si="43">IF(T53=0,0,X53/T53)</f>
        <v>6.127036413482876E-2</v>
      </c>
    </row>
    <row r="54" spans="1:26" s="24" customFormat="1" hidden="1" outlineLevel="2" x14ac:dyDescent="0.3">
      <c r="A54" s="27"/>
      <c r="B54" s="11" t="str">
        <f>CONCATENATE("          ", "6399", " - ", "DONATION-ON CAMPUS")</f>
        <v xml:space="preserve">          6399 - DONATION-ON CAMPUS</v>
      </c>
      <c r="C54" s="11"/>
      <c r="D54" s="7">
        <v>4031.65</v>
      </c>
      <c r="E54" s="2"/>
      <c r="F54" s="6">
        <f t="shared" si="36"/>
        <v>6.2326506019961493E-3</v>
      </c>
      <c r="G54" s="2"/>
      <c r="H54" s="7">
        <v>1459.14</v>
      </c>
      <c r="I54" s="2"/>
      <c r="J54" s="6">
        <f t="shared" si="37"/>
        <v>1.2126696276015356E-2</v>
      </c>
      <c r="K54" s="2"/>
      <c r="L54" s="7">
        <f t="shared" si="38"/>
        <v>2572.5100000000002</v>
      </c>
      <c r="M54" s="2"/>
      <c r="N54" s="6">
        <f t="shared" si="39"/>
        <v>1.763031648779418</v>
      </c>
      <c r="O54" s="11"/>
      <c r="P54" s="7">
        <v>40626.65</v>
      </c>
      <c r="Q54" s="2"/>
      <c r="R54" s="6">
        <f t="shared" si="40"/>
        <v>5.7800942895198321E-3</v>
      </c>
      <c r="S54" s="2"/>
      <c r="T54" s="7">
        <v>38281.15</v>
      </c>
      <c r="U54" s="2"/>
      <c r="V54" s="6">
        <f t="shared" si="41"/>
        <v>4.0251946905996344E-2</v>
      </c>
      <c r="W54" s="2"/>
      <c r="X54" s="7">
        <f t="shared" si="42"/>
        <v>2345.5</v>
      </c>
      <c r="Y54" s="2"/>
      <c r="Z54" s="6">
        <f t="shared" si="43"/>
        <v>6.127036413482876E-2</v>
      </c>
    </row>
    <row r="55" spans="1:26" s="29" customFormat="1" outlineLevel="1" collapsed="1" x14ac:dyDescent="0.3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75.98</v>
      </c>
      <c r="E55" s="1"/>
      <c r="F55" s="5">
        <f t="shared" si="36"/>
        <v>1.1745979753690608E-4</v>
      </c>
      <c r="G55" s="1"/>
      <c r="H55" s="1">
        <f>SUM(OSRRefH22_7x_0)</f>
        <v>0</v>
      </c>
      <c r="I55" s="1"/>
      <c r="J55" s="5">
        <f t="shared" si="37"/>
        <v>0</v>
      </c>
      <c r="K55" s="1"/>
      <c r="L55" s="1">
        <f t="shared" si="38"/>
        <v>75.98</v>
      </c>
      <c r="M55" s="1"/>
      <c r="N55" s="5">
        <f t="shared" si="39"/>
        <v>0</v>
      </c>
      <c r="O55" s="14"/>
      <c r="P55" s="1">
        <f>SUM(OSRRefP22_7x_0)</f>
        <v>553.21</v>
      </c>
      <c r="Q55" s="1"/>
      <c r="R55" s="5">
        <f t="shared" si="40"/>
        <v>7.8707103881448911E-5</v>
      </c>
      <c r="S55" s="1"/>
      <c r="T55" s="1">
        <f>SUM(OSRRefT22_7x_0)</f>
        <v>10</v>
      </c>
      <c r="U55" s="1"/>
      <c r="V55" s="5">
        <f t="shared" si="41"/>
        <v>1.0514821761100788E-5</v>
      </c>
      <c r="W55" s="1"/>
      <c r="X55" s="1">
        <f t="shared" si="42"/>
        <v>543.21</v>
      </c>
      <c r="Y55" s="1"/>
      <c r="Z55" s="5">
        <f t="shared" si="43"/>
        <v>54.321000000000005</v>
      </c>
    </row>
    <row r="56" spans="1:26" s="24" customFormat="1" hidden="1" outlineLevel="2" x14ac:dyDescent="0.3">
      <c r="A56" s="27"/>
      <c r="B56" s="11" t="str">
        <f>CONCATENATE("          ", "6277", " - ", "EMPLOYEE APPRECIATION")</f>
        <v xml:space="preserve">          6277 - EMPLOYEE APPRECIATION</v>
      </c>
      <c r="C56" s="11"/>
      <c r="D56" s="7">
        <v>75.98</v>
      </c>
      <c r="E56" s="2"/>
      <c r="F56" s="6">
        <f t="shared" si="36"/>
        <v>1.1745979753690608E-4</v>
      </c>
      <c r="G56" s="2"/>
      <c r="H56" s="7"/>
      <c r="I56" s="2"/>
      <c r="J56" s="6">
        <f t="shared" si="37"/>
        <v>0</v>
      </c>
      <c r="K56" s="2"/>
      <c r="L56" s="7">
        <f t="shared" si="38"/>
        <v>75.98</v>
      </c>
      <c r="M56" s="2"/>
      <c r="N56" s="6">
        <f t="shared" si="39"/>
        <v>0</v>
      </c>
      <c r="O56" s="11"/>
      <c r="P56" s="7">
        <v>553.21</v>
      </c>
      <c r="Q56" s="2"/>
      <c r="R56" s="6">
        <f t="shared" si="40"/>
        <v>7.8707103881448911E-5</v>
      </c>
      <c r="S56" s="2"/>
      <c r="T56" s="7">
        <v>10</v>
      </c>
      <c r="U56" s="2"/>
      <c r="V56" s="6">
        <f t="shared" si="41"/>
        <v>1.0514821761100788E-5</v>
      </c>
      <c r="W56" s="2"/>
      <c r="X56" s="7">
        <f t="shared" si="42"/>
        <v>543.21</v>
      </c>
      <c r="Y56" s="2"/>
      <c r="Z56" s="6">
        <f t="shared" si="43"/>
        <v>54.321000000000005</v>
      </c>
    </row>
    <row r="57" spans="1:26" s="29" customFormat="1" outlineLevel="1" collapsed="1" x14ac:dyDescent="0.3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1351.46</v>
      </c>
      <c r="E57" s="1"/>
      <c r="F57" s="5">
        <f t="shared" si="36"/>
        <v>2.0892632005689274E-3</v>
      </c>
      <c r="G57" s="1"/>
      <c r="H57" s="1">
        <f>SUM(OSRRefH22_8x_0)</f>
        <v>444.75</v>
      </c>
      <c r="I57" s="1"/>
      <c r="J57" s="5">
        <f t="shared" si="37"/>
        <v>3.6962513321256558E-3</v>
      </c>
      <c r="K57" s="1"/>
      <c r="L57" s="1">
        <f t="shared" si="38"/>
        <v>906.71</v>
      </c>
      <c r="M57" s="1"/>
      <c r="N57" s="5">
        <f t="shared" si="39"/>
        <v>2.0386958965711073</v>
      </c>
      <c r="O57" s="14"/>
      <c r="P57" s="1">
        <f>SUM(OSRRefP22_8x_0)</f>
        <v>14984.32</v>
      </c>
      <c r="Q57" s="1"/>
      <c r="R57" s="5">
        <f t="shared" si="40"/>
        <v>2.1318711354329687E-3</v>
      </c>
      <c r="S57" s="1"/>
      <c r="T57" s="1">
        <f>SUM(OSRRefT22_8x_0)</f>
        <v>7745.9</v>
      </c>
      <c r="U57" s="1"/>
      <c r="V57" s="5">
        <f t="shared" si="41"/>
        <v>8.1446757879310595E-3</v>
      </c>
      <c r="W57" s="1"/>
      <c r="X57" s="1">
        <f t="shared" si="42"/>
        <v>7238.42</v>
      </c>
      <c r="Y57" s="1"/>
      <c r="Z57" s="5">
        <f t="shared" si="43"/>
        <v>0.93448404962625398</v>
      </c>
    </row>
    <row r="58" spans="1:26" s="24" customFormat="1" hidden="1" outlineLevel="2" x14ac:dyDescent="0.3">
      <c r="A58" s="27"/>
      <c r="B58" s="11" t="str">
        <f>CONCATENATE("          ", "6351", " - ", "EQUIPMENT RENTAL")</f>
        <v xml:space="preserve">          6351 - EQUIPMENT RENTAL</v>
      </c>
      <c r="C58" s="11"/>
      <c r="D58" s="7">
        <v>1351.46</v>
      </c>
      <c r="E58" s="2"/>
      <c r="F58" s="6">
        <f t="shared" si="36"/>
        <v>2.0892632005689274E-3</v>
      </c>
      <c r="G58" s="2"/>
      <c r="H58" s="7">
        <v>444.75</v>
      </c>
      <c r="I58" s="2"/>
      <c r="J58" s="6">
        <f t="shared" si="37"/>
        <v>3.6962513321256558E-3</v>
      </c>
      <c r="K58" s="2"/>
      <c r="L58" s="7">
        <f t="shared" si="38"/>
        <v>906.71</v>
      </c>
      <c r="M58" s="2"/>
      <c r="N58" s="6">
        <f t="shared" si="39"/>
        <v>2.0386958965711073</v>
      </c>
      <c r="O58" s="11"/>
      <c r="P58" s="7">
        <v>14984.32</v>
      </c>
      <c r="Q58" s="2"/>
      <c r="R58" s="6">
        <f t="shared" si="40"/>
        <v>2.1318711354329687E-3</v>
      </c>
      <c r="S58" s="2"/>
      <c r="T58" s="7">
        <v>7745.9</v>
      </c>
      <c r="U58" s="2"/>
      <c r="V58" s="6">
        <f t="shared" si="41"/>
        <v>8.1446757879310595E-3</v>
      </c>
      <c r="W58" s="2"/>
      <c r="X58" s="7">
        <f t="shared" si="42"/>
        <v>7238.42</v>
      </c>
      <c r="Y58" s="2"/>
      <c r="Z58" s="6">
        <f t="shared" si="43"/>
        <v>0.93448404962625398</v>
      </c>
    </row>
    <row r="59" spans="1:26" s="29" customFormat="1" outlineLevel="1" collapsed="1" x14ac:dyDescent="0.3">
      <c r="A59" s="28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0</v>
      </c>
      <c r="E59" s="1"/>
      <c r="F59" s="5">
        <f t="shared" si="36"/>
        <v>0</v>
      </c>
      <c r="G59" s="1"/>
      <c r="H59" s="1">
        <f>SUM(OSRRefH22_9x_0)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SUM(OSRRefP22_9x_0)</f>
        <v>0</v>
      </c>
      <c r="Q59" s="1"/>
      <c r="R59" s="5">
        <f t="shared" si="40"/>
        <v>0</v>
      </c>
      <c r="S59" s="1"/>
      <c r="T59" s="1">
        <f>SUM(OSRRefT22_9x_0)</f>
        <v>-5.41</v>
      </c>
      <c r="U59" s="1"/>
      <c r="V59" s="5">
        <f t="shared" si="41"/>
        <v>-5.6885185727555261E-6</v>
      </c>
      <c r="W59" s="1"/>
      <c r="X59" s="1">
        <f t="shared" si="42"/>
        <v>5.41</v>
      </c>
      <c r="Y59" s="1"/>
      <c r="Z59" s="5">
        <f t="shared" si="43"/>
        <v>-1</v>
      </c>
    </row>
    <row r="60" spans="1:26" s="24" customFormat="1" hidden="1" outlineLevel="2" x14ac:dyDescent="0.3">
      <c r="A60" s="27"/>
      <c r="B60" s="11" t="str">
        <f>CONCATENATE("          ", "6307", " - ", "POSTAGE")</f>
        <v xml:space="preserve">          6307 - POSTAGE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/>
      <c r="Q60" s="2"/>
      <c r="R60" s="6">
        <f t="shared" si="40"/>
        <v>0</v>
      </c>
      <c r="S60" s="2"/>
      <c r="T60" s="7">
        <v>-5.41</v>
      </c>
      <c r="U60" s="2"/>
      <c r="V60" s="6">
        <f t="shared" si="41"/>
        <v>-5.6885185727555261E-6</v>
      </c>
      <c r="W60" s="2"/>
      <c r="X60" s="7">
        <f t="shared" si="42"/>
        <v>5.41</v>
      </c>
      <c r="Y60" s="2"/>
      <c r="Z60" s="6">
        <f t="shared" si="43"/>
        <v>-1</v>
      </c>
    </row>
    <row r="61" spans="1:26" s="29" customFormat="1" outlineLevel="1" collapsed="1" x14ac:dyDescent="0.3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1981.68</v>
      </c>
      <c r="E61" s="1"/>
      <c r="F61" s="5">
        <f t="shared" si="36"/>
        <v>3.0635395049083448E-3</v>
      </c>
      <c r="G61" s="1"/>
      <c r="H61" s="1">
        <f>SUM(OSRRefH22_10x_0)</f>
        <v>397</v>
      </c>
      <c r="I61" s="1"/>
      <c r="J61" s="5">
        <f t="shared" si="37"/>
        <v>3.2994081593117151E-3</v>
      </c>
      <c r="K61" s="1"/>
      <c r="L61" s="1">
        <f t="shared" si="38"/>
        <v>1584.68</v>
      </c>
      <c r="M61" s="1"/>
      <c r="N61" s="5">
        <f t="shared" si="39"/>
        <v>3.9916372795969775</v>
      </c>
      <c r="O61" s="14"/>
      <c r="P61" s="1">
        <f>SUM(OSRRefP22_10x_0)</f>
        <v>27954.65</v>
      </c>
      <c r="Q61" s="1"/>
      <c r="R61" s="5">
        <f t="shared" si="40"/>
        <v>3.9772049339663884E-3</v>
      </c>
      <c r="S61" s="1"/>
      <c r="T61" s="1">
        <f>SUM(OSRRefT22_10x_0)</f>
        <v>12235.88</v>
      </c>
      <c r="U61" s="1"/>
      <c r="V61" s="5">
        <f t="shared" si="41"/>
        <v>1.286580972902179E-2</v>
      </c>
      <c r="W61" s="1"/>
      <c r="X61" s="1">
        <f t="shared" si="42"/>
        <v>15718.770000000002</v>
      </c>
      <c r="Y61" s="1"/>
      <c r="Z61" s="5">
        <f t="shared" si="43"/>
        <v>1.2846456486987452</v>
      </c>
    </row>
    <row r="62" spans="1:26" s="24" customFormat="1" hidden="1" outlineLevel="2" x14ac:dyDescent="0.3">
      <c r="A62" s="27"/>
      <c r="B62" s="11" t="str">
        <f>CONCATENATE("          ", "6279", " - ", "GENERAL EXPENSE")</f>
        <v xml:space="preserve">          6279 - GENERAL EXPENSE</v>
      </c>
      <c r="C62" s="11"/>
      <c r="D62" s="7">
        <v>1981.68</v>
      </c>
      <c r="E62" s="2"/>
      <c r="F62" s="6">
        <f t="shared" si="36"/>
        <v>3.0635395049083448E-3</v>
      </c>
      <c r="G62" s="2"/>
      <c r="H62" s="7">
        <v>397</v>
      </c>
      <c r="I62" s="2"/>
      <c r="J62" s="6">
        <f t="shared" si="37"/>
        <v>3.2994081593117151E-3</v>
      </c>
      <c r="K62" s="2"/>
      <c r="L62" s="7">
        <f t="shared" si="38"/>
        <v>1584.68</v>
      </c>
      <c r="M62" s="2"/>
      <c r="N62" s="6">
        <f t="shared" si="39"/>
        <v>3.9916372795969775</v>
      </c>
      <c r="O62" s="11"/>
      <c r="P62" s="7">
        <v>27954.65</v>
      </c>
      <c r="Q62" s="2"/>
      <c r="R62" s="6">
        <f t="shared" si="40"/>
        <v>3.9772049339663884E-3</v>
      </c>
      <c r="S62" s="2"/>
      <c r="T62" s="7">
        <v>12235.88</v>
      </c>
      <c r="U62" s="2"/>
      <c r="V62" s="6">
        <f t="shared" si="41"/>
        <v>1.286580972902179E-2</v>
      </c>
      <c r="W62" s="2"/>
      <c r="X62" s="7">
        <f t="shared" si="42"/>
        <v>15718.770000000002</v>
      </c>
      <c r="Y62" s="2"/>
      <c r="Z62" s="6">
        <f t="shared" si="43"/>
        <v>1.2846456486987452</v>
      </c>
    </row>
    <row r="63" spans="1:26" s="29" customFormat="1" outlineLevel="1" collapsed="1" x14ac:dyDescent="0.3">
      <c r="A63" s="28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5761.42</v>
      </c>
      <c r="E63" s="1"/>
      <c r="F63" s="5">
        <f t="shared" si="36"/>
        <v>8.906754760793386E-3</v>
      </c>
      <c r="G63" s="1"/>
      <c r="H63" s="1">
        <f>SUM(OSRRefH22_11x_0)</f>
        <v>4246.03</v>
      </c>
      <c r="I63" s="1"/>
      <c r="J63" s="5">
        <f t="shared" si="37"/>
        <v>3.5288126011794263E-2</v>
      </c>
      <c r="K63" s="1"/>
      <c r="L63" s="1">
        <f t="shared" si="38"/>
        <v>1515.3900000000003</v>
      </c>
      <c r="M63" s="1"/>
      <c r="N63" s="5">
        <f t="shared" si="39"/>
        <v>0.35689573554591003</v>
      </c>
      <c r="O63" s="14"/>
      <c r="P63" s="1">
        <f>SUM(OSRRefP22_11x_0)</f>
        <v>47212.95</v>
      </c>
      <c r="Q63" s="1"/>
      <c r="R63" s="5">
        <f t="shared" si="40"/>
        <v>6.7171500157257695E-3</v>
      </c>
      <c r="S63" s="1"/>
      <c r="T63" s="1">
        <f>SUM(OSRRefT22_11x_0)</f>
        <v>35834.21</v>
      </c>
      <c r="U63" s="1"/>
      <c r="V63" s="5">
        <f t="shared" si="41"/>
        <v>3.7679033109985549E-2</v>
      </c>
      <c r="W63" s="1"/>
      <c r="X63" s="1">
        <f t="shared" si="42"/>
        <v>11378.739999999998</v>
      </c>
      <c r="Y63" s="1"/>
      <c r="Z63" s="5">
        <f t="shared" si="43"/>
        <v>0.31753846394269603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5761.42</v>
      </c>
      <c r="E64" s="2"/>
      <c r="F64" s="6">
        <f t="shared" si="36"/>
        <v>8.906754760793386E-3</v>
      </c>
      <c r="G64" s="2"/>
      <c r="H64" s="7">
        <v>4246.03</v>
      </c>
      <c r="I64" s="2"/>
      <c r="J64" s="6">
        <f t="shared" si="37"/>
        <v>3.5288126011794263E-2</v>
      </c>
      <c r="K64" s="2"/>
      <c r="L64" s="7">
        <f t="shared" si="38"/>
        <v>1515.3900000000003</v>
      </c>
      <c r="M64" s="2"/>
      <c r="N64" s="6">
        <f t="shared" si="39"/>
        <v>0.35689573554591003</v>
      </c>
      <c r="O64" s="11"/>
      <c r="P64" s="7">
        <v>47212.95</v>
      </c>
      <c r="Q64" s="2"/>
      <c r="R64" s="6">
        <f t="shared" si="40"/>
        <v>6.7171500157257695E-3</v>
      </c>
      <c r="S64" s="2"/>
      <c r="T64" s="7">
        <v>35834.21</v>
      </c>
      <c r="U64" s="2"/>
      <c r="V64" s="6">
        <f t="shared" si="41"/>
        <v>3.7679033109985549E-2</v>
      </c>
      <c r="W64" s="2"/>
      <c r="X64" s="7">
        <f t="shared" si="42"/>
        <v>11378.739999999998</v>
      </c>
      <c r="Y64" s="2"/>
      <c r="Z64" s="6">
        <f t="shared" si="43"/>
        <v>0.31753846394269603</v>
      </c>
    </row>
    <row r="65" spans="1:26" s="29" customFormat="1" outlineLevel="1" collapsed="1" x14ac:dyDescent="0.3">
      <c r="A65" s="28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SUM(OSRRefD22_12x_0)</f>
        <v>7253</v>
      </c>
      <c r="E65" s="1"/>
      <c r="F65" s="5">
        <f t="shared" si="36"/>
        <v>1.1212633739604893E-2</v>
      </c>
      <c r="G65" s="1"/>
      <c r="H65" s="1">
        <f>SUM(OSRRefH22_12x_0)</f>
        <v>7510</v>
      </c>
      <c r="I65" s="1"/>
      <c r="J65" s="5">
        <f t="shared" si="37"/>
        <v>6.2414496917962171E-2</v>
      </c>
      <c r="K65" s="1"/>
      <c r="L65" s="1">
        <f t="shared" si="38"/>
        <v>-257</v>
      </c>
      <c r="M65" s="1"/>
      <c r="N65" s="5">
        <f t="shared" si="39"/>
        <v>-3.4221038615179764E-2</v>
      </c>
      <c r="O65" s="14"/>
      <c r="P65" s="1">
        <f>SUM(OSRRefP22_12x_0)</f>
        <v>50257</v>
      </c>
      <c r="Q65" s="1"/>
      <c r="R65" s="5">
        <f t="shared" si="40"/>
        <v>7.150237558558193E-3</v>
      </c>
      <c r="S65" s="1"/>
      <c r="T65" s="1">
        <f>SUM(OSRRefT22_12x_0)</f>
        <v>52083.15</v>
      </c>
      <c r="U65" s="1"/>
      <c r="V65" s="5">
        <f t="shared" si="41"/>
        <v>5.4764503900667651E-2</v>
      </c>
      <c r="W65" s="1"/>
      <c r="X65" s="1">
        <f t="shared" si="42"/>
        <v>-1826.1500000000015</v>
      </c>
      <c r="Y65" s="1"/>
      <c r="Z65" s="5">
        <f t="shared" si="43"/>
        <v>-3.5062203418956064E-2</v>
      </c>
    </row>
    <row r="66" spans="1:26" s="24" customFormat="1" hidden="1" outlineLevel="2" x14ac:dyDescent="0.3">
      <c r="A66" s="27"/>
      <c r="B66" s="11" t="str">
        <f>CONCATENATE("          ", "6401", " - ", "INTEREST EXPENSE")</f>
        <v xml:space="preserve">          6401 - INTEREST EXPENSE</v>
      </c>
      <c r="C66" s="11"/>
      <c r="D66" s="7">
        <v>7253</v>
      </c>
      <c r="E66" s="2"/>
      <c r="F66" s="6">
        <f t="shared" si="36"/>
        <v>1.1212633739604893E-2</v>
      </c>
      <c r="G66" s="2"/>
      <c r="H66" s="7">
        <v>7510</v>
      </c>
      <c r="I66" s="2"/>
      <c r="J66" s="6">
        <f t="shared" si="37"/>
        <v>6.2414496917962171E-2</v>
      </c>
      <c r="K66" s="2"/>
      <c r="L66" s="7">
        <f t="shared" si="38"/>
        <v>-257</v>
      </c>
      <c r="M66" s="2"/>
      <c r="N66" s="6">
        <f t="shared" si="39"/>
        <v>-3.4221038615179764E-2</v>
      </c>
      <c r="O66" s="11"/>
      <c r="P66" s="7">
        <v>50257</v>
      </c>
      <c r="Q66" s="2"/>
      <c r="R66" s="6">
        <f t="shared" si="40"/>
        <v>7.150237558558193E-3</v>
      </c>
      <c r="S66" s="2"/>
      <c r="T66" s="7">
        <v>52083.15</v>
      </c>
      <c r="U66" s="2"/>
      <c r="V66" s="6">
        <f t="shared" si="41"/>
        <v>5.4764503900667651E-2</v>
      </c>
      <c r="W66" s="2"/>
      <c r="X66" s="7">
        <f t="shared" si="42"/>
        <v>-1826.1500000000015</v>
      </c>
      <c r="Y66" s="2"/>
      <c r="Z66" s="6">
        <f t="shared" si="43"/>
        <v>-3.5062203418956064E-2</v>
      </c>
    </row>
    <row r="67" spans="1:26" s="29" customFormat="1" outlineLevel="1" collapsed="1" x14ac:dyDescent="0.3">
      <c r="A67" s="28"/>
      <c r="B67" s="14" t="str">
        <f>CONCATENATE("     ","R/H Commissions                                   ")</f>
        <v xml:space="preserve">     R/H Commissions                                   </v>
      </c>
      <c r="C67" s="14"/>
      <c r="D67" s="1">
        <f>SUM(OSRRefD22_13x_0)</f>
        <v>49958.66</v>
      </c>
      <c r="E67" s="1"/>
      <c r="F67" s="5">
        <f t="shared" si="36"/>
        <v>7.7232615014676612E-2</v>
      </c>
      <c r="G67" s="1"/>
      <c r="H67" s="1">
        <f>SUM(OSRRefH22_13x_0)</f>
        <v>-29103.13</v>
      </c>
      <c r="I67" s="1"/>
      <c r="J67" s="5">
        <f t="shared" si="37"/>
        <v>-0.24187179995846236</v>
      </c>
      <c r="K67" s="1"/>
      <c r="L67" s="1">
        <f t="shared" si="38"/>
        <v>79061.790000000008</v>
      </c>
      <c r="M67" s="1"/>
      <c r="N67" s="5">
        <f t="shared" si="39"/>
        <v>-2.7166078012914765</v>
      </c>
      <c r="O67" s="14"/>
      <c r="P67" s="1">
        <f>SUM(OSRRefP22_13x_0)</f>
        <v>499627.4</v>
      </c>
      <c r="Q67" s="1"/>
      <c r="R67" s="5">
        <f t="shared" si="40"/>
        <v>7.1083721685830395E-2</v>
      </c>
      <c r="S67" s="1"/>
      <c r="T67" s="1">
        <f>SUM(OSRRefT22_13x_0)</f>
        <v>45913.36</v>
      </c>
      <c r="U67" s="1"/>
      <c r="V67" s="5">
        <f t="shared" si="41"/>
        <v>4.827707968532545E-2</v>
      </c>
      <c r="W67" s="1"/>
      <c r="X67" s="1">
        <f t="shared" si="42"/>
        <v>453714.04000000004</v>
      </c>
      <c r="Y67" s="1"/>
      <c r="Z67" s="5">
        <f t="shared" si="43"/>
        <v>9.8819611546617381</v>
      </c>
    </row>
    <row r="68" spans="1:26" s="24" customFormat="1" hidden="1" outlineLevel="2" x14ac:dyDescent="0.3">
      <c r="A68" s="27"/>
      <c r="B68" s="11" t="str">
        <f>CONCATENATE("          ", "6387", " - ", "COMMISSION DUE HOUSING")</f>
        <v xml:space="preserve">          6387 - COMMISSION DUE HOUSING</v>
      </c>
      <c r="C68" s="11"/>
      <c r="D68" s="7">
        <v>49958.66</v>
      </c>
      <c r="E68" s="2"/>
      <c r="F68" s="6">
        <f t="shared" si="36"/>
        <v>7.7232615014676612E-2</v>
      </c>
      <c r="G68" s="2"/>
      <c r="H68" s="7">
        <v>-29103.13</v>
      </c>
      <c r="I68" s="2"/>
      <c r="J68" s="6">
        <f t="shared" si="37"/>
        <v>-0.24187179995846236</v>
      </c>
      <c r="K68" s="2"/>
      <c r="L68" s="7">
        <f t="shared" si="38"/>
        <v>79061.790000000008</v>
      </c>
      <c r="M68" s="2"/>
      <c r="N68" s="6">
        <f t="shared" si="39"/>
        <v>-2.7166078012914765</v>
      </c>
      <c r="O68" s="11"/>
      <c r="P68" s="7">
        <v>499627.4</v>
      </c>
      <c r="Q68" s="2"/>
      <c r="R68" s="6">
        <f t="shared" si="40"/>
        <v>7.1083721685830395E-2</v>
      </c>
      <c r="S68" s="2"/>
      <c r="T68" s="7">
        <v>45913.36</v>
      </c>
      <c r="U68" s="2"/>
      <c r="V68" s="6">
        <f t="shared" si="41"/>
        <v>4.827707968532545E-2</v>
      </c>
      <c r="W68" s="2"/>
      <c r="X68" s="7">
        <f t="shared" si="42"/>
        <v>453714.04000000004</v>
      </c>
      <c r="Y68" s="2"/>
      <c r="Z68" s="6">
        <f t="shared" si="43"/>
        <v>9.8819611546617381</v>
      </c>
    </row>
    <row r="69" spans="1:26" s="29" customFormat="1" outlineLevel="1" collapsed="1" x14ac:dyDescent="0.3">
      <c r="A69" s="28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SUM(OSRRefD22_14x_0)</f>
        <v>1850</v>
      </c>
      <c r="E69" s="1"/>
      <c r="F69" s="5">
        <f t="shared" si="36"/>
        <v>2.859971379879919E-3</v>
      </c>
      <c r="G69" s="1"/>
      <c r="H69" s="1">
        <f>SUM(OSRRefH22_14x_0)</f>
        <v>0</v>
      </c>
      <c r="I69" s="1"/>
      <c r="J69" s="5">
        <f t="shared" si="37"/>
        <v>0</v>
      </c>
      <c r="K69" s="1"/>
      <c r="L69" s="1">
        <f t="shared" si="38"/>
        <v>1850</v>
      </c>
      <c r="M69" s="1"/>
      <c r="N69" s="5">
        <f t="shared" si="39"/>
        <v>0</v>
      </c>
      <c r="O69" s="14"/>
      <c r="P69" s="1">
        <f>SUM(OSRRefP22_14x_0)</f>
        <v>12950</v>
      </c>
      <c r="Q69" s="1"/>
      <c r="R69" s="5">
        <f t="shared" si="40"/>
        <v>1.8424413789786219E-3</v>
      </c>
      <c r="S69" s="1"/>
      <c r="T69" s="1">
        <f>SUM(OSRRefT22_14x_0)</f>
        <v>11100</v>
      </c>
      <c r="U69" s="1"/>
      <c r="V69" s="5">
        <f t="shared" si="41"/>
        <v>1.1671452154821875E-2</v>
      </c>
      <c r="W69" s="1"/>
      <c r="X69" s="1">
        <f t="shared" si="42"/>
        <v>1850</v>
      </c>
      <c r="Y69" s="1"/>
      <c r="Z69" s="5">
        <f t="shared" si="43"/>
        <v>0.16666666666666666</v>
      </c>
    </row>
    <row r="70" spans="1:26" s="24" customFormat="1" hidden="1" outlineLevel="2" x14ac:dyDescent="0.3">
      <c r="A70" s="27"/>
      <c r="B70" s="11" t="str">
        <f>CONCATENATE("          ", "6273", " - ", "RENT")</f>
        <v xml:space="preserve">          6273 - RENT</v>
      </c>
      <c r="C70" s="11"/>
      <c r="D70" s="7">
        <v>1850</v>
      </c>
      <c r="E70" s="2"/>
      <c r="F70" s="6">
        <f t="shared" si="36"/>
        <v>2.859971379879919E-3</v>
      </c>
      <c r="G70" s="2"/>
      <c r="H70" s="7"/>
      <c r="I70" s="2"/>
      <c r="J70" s="6">
        <f t="shared" si="37"/>
        <v>0</v>
      </c>
      <c r="K70" s="2"/>
      <c r="L70" s="7">
        <f t="shared" si="38"/>
        <v>1850</v>
      </c>
      <c r="M70" s="2"/>
      <c r="N70" s="6">
        <f t="shared" si="39"/>
        <v>0</v>
      </c>
      <c r="O70" s="11"/>
      <c r="P70" s="7">
        <v>12950</v>
      </c>
      <c r="Q70" s="2"/>
      <c r="R70" s="6">
        <f t="shared" si="40"/>
        <v>1.8424413789786219E-3</v>
      </c>
      <c r="S70" s="2"/>
      <c r="T70" s="7">
        <v>11100</v>
      </c>
      <c r="U70" s="2"/>
      <c r="V70" s="6">
        <f t="shared" si="41"/>
        <v>1.1671452154821875E-2</v>
      </c>
      <c r="W70" s="2"/>
      <c r="X70" s="7">
        <f t="shared" si="42"/>
        <v>1850</v>
      </c>
      <c r="Y70" s="2"/>
      <c r="Z70" s="6">
        <f t="shared" si="43"/>
        <v>0.16666666666666666</v>
      </c>
    </row>
    <row r="71" spans="1:26" s="29" customFormat="1" outlineLevel="1" collapsed="1" x14ac:dyDescent="0.3">
      <c r="A71" s="28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SUM(OSRRefD22_15x_0)</f>
        <v>7973.2000000000007</v>
      </c>
      <c r="E71" s="1"/>
      <c r="F71" s="5">
        <f t="shared" si="36"/>
        <v>1.2326012868139769E-2</v>
      </c>
      <c r="G71" s="1"/>
      <c r="H71" s="1">
        <f>SUM(OSRRefH22_15x_0)</f>
        <v>6434.15</v>
      </c>
      <c r="I71" s="1"/>
      <c r="J71" s="5">
        <f t="shared" si="37"/>
        <v>5.3473267023263153E-2</v>
      </c>
      <c r="K71" s="1"/>
      <c r="L71" s="1">
        <f t="shared" si="38"/>
        <v>1539.0500000000011</v>
      </c>
      <c r="M71" s="1"/>
      <c r="N71" s="5">
        <f t="shared" si="39"/>
        <v>0.2392002051553043</v>
      </c>
      <c r="O71" s="14"/>
      <c r="P71" s="1">
        <f>SUM(OSRRefP22_15x_0)</f>
        <v>87355.98</v>
      </c>
      <c r="Q71" s="1"/>
      <c r="R71" s="5">
        <f t="shared" si="40"/>
        <v>1.2428438011832348E-2</v>
      </c>
      <c r="S71" s="1"/>
      <c r="T71" s="1">
        <f>SUM(OSRRefT22_15x_0)</f>
        <v>34439.919999999998</v>
      </c>
      <c r="U71" s="1"/>
      <c r="V71" s="5">
        <f t="shared" si="41"/>
        <v>3.6212962026657025E-2</v>
      </c>
      <c r="W71" s="1"/>
      <c r="X71" s="1">
        <f t="shared" si="42"/>
        <v>52916.06</v>
      </c>
      <c r="Y71" s="1"/>
      <c r="Z71" s="5">
        <f t="shared" si="43"/>
        <v>1.5364745330418885</v>
      </c>
    </row>
    <row r="72" spans="1:26" s="24" customFormat="1" hidden="1" outlineLevel="2" x14ac:dyDescent="0.3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7">
        <v>3981.09</v>
      </c>
      <c r="E72" s="2"/>
      <c r="F72" s="6">
        <f t="shared" si="36"/>
        <v>6.154488357149269E-3</v>
      </c>
      <c r="G72" s="2"/>
      <c r="H72" s="7">
        <v>3500</v>
      </c>
      <c r="I72" s="2"/>
      <c r="J72" s="6">
        <f t="shared" si="37"/>
        <v>2.9087981253377842E-2</v>
      </c>
      <c r="K72" s="2"/>
      <c r="L72" s="7">
        <f t="shared" si="38"/>
        <v>481.09000000000015</v>
      </c>
      <c r="M72" s="2"/>
      <c r="N72" s="6">
        <f t="shared" si="39"/>
        <v>0.13745428571428575</v>
      </c>
      <c r="O72" s="11"/>
      <c r="P72" s="7">
        <v>31317.17</v>
      </c>
      <c r="Q72" s="2"/>
      <c r="R72" s="6">
        <f t="shared" si="40"/>
        <v>4.4556023073751292E-3</v>
      </c>
      <c r="S72" s="2"/>
      <c r="T72" s="7">
        <v>7000</v>
      </c>
      <c r="U72" s="2"/>
      <c r="V72" s="6">
        <f t="shared" si="41"/>
        <v>7.3603752327705517E-3</v>
      </c>
      <c r="W72" s="2"/>
      <c r="X72" s="7">
        <f t="shared" si="42"/>
        <v>24317.17</v>
      </c>
      <c r="Y72" s="2"/>
      <c r="Z72" s="6">
        <f t="shared" si="43"/>
        <v>3.4738814285714281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7">
        <v>2639.86</v>
      </c>
      <c r="E73" s="2"/>
      <c r="F73" s="6">
        <f t="shared" si="36"/>
        <v>4.0810400253458393E-3</v>
      </c>
      <c r="G73" s="2"/>
      <c r="H73" s="7">
        <v>5.94</v>
      </c>
      <c r="I73" s="2"/>
      <c r="J73" s="6">
        <f t="shared" si="37"/>
        <v>4.9366459612875538E-5</v>
      </c>
      <c r="K73" s="2"/>
      <c r="L73" s="7">
        <f t="shared" si="38"/>
        <v>2633.92</v>
      </c>
      <c r="M73" s="2"/>
      <c r="N73" s="6">
        <f t="shared" si="39"/>
        <v>443.4208754208754</v>
      </c>
      <c r="O73" s="11"/>
      <c r="P73" s="7">
        <v>14351.88</v>
      </c>
      <c r="Q73" s="2"/>
      <c r="R73" s="6">
        <f t="shared" si="40"/>
        <v>2.041891704875344E-3</v>
      </c>
      <c r="S73" s="2"/>
      <c r="T73" s="7">
        <v>13997.35</v>
      </c>
      <c r="U73" s="2"/>
      <c r="V73" s="6">
        <f t="shared" si="41"/>
        <v>1.4717964037774412E-2</v>
      </c>
      <c r="W73" s="2"/>
      <c r="X73" s="7">
        <f t="shared" si="42"/>
        <v>354.52999999999884</v>
      </c>
      <c r="Y73" s="2"/>
      <c r="Z73" s="6">
        <f t="shared" si="43"/>
        <v>2.532836572636955E-2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7">
        <v>1352.25</v>
      </c>
      <c r="E74" s="2"/>
      <c r="F74" s="6">
        <f t="shared" si="36"/>
        <v>2.0904844856446596E-3</v>
      </c>
      <c r="G74" s="2"/>
      <c r="H74" s="7">
        <v>2928.21</v>
      </c>
      <c r="I74" s="2"/>
      <c r="J74" s="6">
        <f t="shared" si="37"/>
        <v>2.4335919310272437E-2</v>
      </c>
      <c r="K74" s="2"/>
      <c r="L74" s="7">
        <f t="shared" si="38"/>
        <v>-1575.96</v>
      </c>
      <c r="M74" s="2"/>
      <c r="N74" s="6">
        <f t="shared" si="39"/>
        <v>-0.53819910457241793</v>
      </c>
      <c r="O74" s="11"/>
      <c r="P74" s="7">
        <v>41686.93</v>
      </c>
      <c r="Q74" s="2"/>
      <c r="R74" s="6">
        <f t="shared" si="40"/>
        <v>5.9309439995818749E-3</v>
      </c>
      <c r="S74" s="2"/>
      <c r="T74" s="7">
        <v>13442.57</v>
      </c>
      <c r="U74" s="2"/>
      <c r="V74" s="6">
        <f t="shared" si="41"/>
        <v>1.4134622756112061E-2</v>
      </c>
      <c r="W74" s="2"/>
      <c r="X74" s="7">
        <f t="shared" si="42"/>
        <v>28244.36</v>
      </c>
      <c r="Y74" s="2"/>
      <c r="Z74" s="6">
        <f t="shared" si="43"/>
        <v>2.1011131056040626</v>
      </c>
    </row>
    <row r="75" spans="1:26" s="29" customFormat="1" outlineLevel="1" collapsed="1" x14ac:dyDescent="0.3">
      <c r="A75" s="28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SUM(OSRRefD22_16x_0)</f>
        <v>0</v>
      </c>
      <c r="E75" s="1"/>
      <c r="F75" s="5">
        <f t="shared" ref="F75:F81" si="44">IF(D$12=0,0,D75/D$12)</f>
        <v>0</v>
      </c>
      <c r="G75" s="1"/>
      <c r="H75" s="1">
        <f>SUM(OSRRefH22_16x_0)</f>
        <v>0</v>
      </c>
      <c r="I75" s="1"/>
      <c r="J75" s="5">
        <f t="shared" ref="J75:J81" si="45">IF(H$12=0,0,H75/H$12)</f>
        <v>0</v>
      </c>
      <c r="K75" s="1"/>
      <c r="L75" s="1">
        <f t="shared" ref="L75:L81" si="46">+D75-H75</f>
        <v>0</v>
      </c>
      <c r="M75" s="1"/>
      <c r="N75" s="5">
        <f t="shared" ref="N75:N81" si="47">IF(H75=0,0,L75/H75)</f>
        <v>0</v>
      </c>
      <c r="O75" s="14"/>
      <c r="P75" s="1">
        <f>SUM(OSRRefP22_16x_0)</f>
        <v>1844.91</v>
      </c>
      <c r="Q75" s="1"/>
      <c r="R75" s="5">
        <f t="shared" ref="R75:R81" si="48">IF(P$12=0,0,P75/P$12)</f>
        <v>2.6248173934296907E-4</v>
      </c>
      <c r="S75" s="1"/>
      <c r="T75" s="1">
        <f>SUM(OSRRefT22_16x_0)</f>
        <v>0</v>
      </c>
      <c r="U75" s="1"/>
      <c r="V75" s="5">
        <f t="shared" ref="V75:V81" si="49">IF(T$12=0,0,T75/T$12)</f>
        <v>0</v>
      </c>
      <c r="W75" s="1"/>
      <c r="X75" s="1">
        <f t="shared" ref="X75:X81" si="50">+P75-T75</f>
        <v>1844.91</v>
      </c>
      <c r="Y75" s="1"/>
      <c r="Z75" s="5">
        <f t="shared" ref="Z75:Z81" si="51">IF(T75=0,0,X75/T75)</f>
        <v>0</v>
      </c>
    </row>
    <row r="76" spans="1:26" s="24" customFormat="1" hidden="1" outlineLevel="2" x14ac:dyDescent="0.3">
      <c r="A76" s="27"/>
      <c r="B76" s="11" t="str">
        <f>CONCATENATE("          ", "6254", " - ", "ROYALTY &amp; COMMISSIONS")</f>
        <v xml:space="preserve">          6254 - ROYALTY &amp; COMMISSIONS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1844.91</v>
      </c>
      <c r="Q76" s="2"/>
      <c r="R76" s="6">
        <f t="shared" si="48"/>
        <v>2.6248173934296907E-4</v>
      </c>
      <c r="S76" s="2"/>
      <c r="T76" s="7"/>
      <c r="U76" s="2"/>
      <c r="V76" s="6">
        <f t="shared" si="49"/>
        <v>0</v>
      </c>
      <c r="W76" s="2"/>
      <c r="X76" s="7">
        <f t="shared" si="50"/>
        <v>1844.91</v>
      </c>
      <c r="Y76" s="2"/>
      <c r="Z76" s="6">
        <f t="shared" si="51"/>
        <v>0</v>
      </c>
    </row>
    <row r="77" spans="1:26" s="29" customFormat="1" outlineLevel="1" collapsed="1" x14ac:dyDescent="0.3">
      <c r="A77" s="28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SUM(OSRRefD22_17x_0)</f>
        <v>21977.329999999998</v>
      </c>
      <c r="E77" s="1"/>
      <c r="F77" s="5">
        <f t="shared" si="44"/>
        <v>3.3975424219554774E-2</v>
      </c>
      <c r="G77" s="1"/>
      <c r="H77" s="1">
        <f>SUM(OSRRefH22_17x_0)</f>
        <v>20590.37</v>
      </c>
      <c r="I77" s="1"/>
      <c r="J77" s="5">
        <f t="shared" si="45"/>
        <v>0.17112351330288958</v>
      </c>
      <c r="K77" s="1"/>
      <c r="L77" s="1">
        <f t="shared" si="46"/>
        <v>1386.9599999999991</v>
      </c>
      <c r="M77" s="1"/>
      <c r="N77" s="5">
        <f t="shared" si="47"/>
        <v>6.7359644338591249E-2</v>
      </c>
      <c r="O77" s="14"/>
      <c r="P77" s="1">
        <f>SUM(OSRRefP22_17x_0)</f>
        <v>161161.81</v>
      </c>
      <c r="Q77" s="1"/>
      <c r="R77" s="5">
        <f t="shared" si="48"/>
        <v>2.2929049224331324E-2</v>
      </c>
      <c r="S77" s="1"/>
      <c r="T77" s="1">
        <f>SUM(OSRRefT22_17x_0)</f>
        <v>122805.62</v>
      </c>
      <c r="U77" s="1"/>
      <c r="V77" s="5">
        <f t="shared" si="49"/>
        <v>0.12912792055614741</v>
      </c>
      <c r="W77" s="1"/>
      <c r="X77" s="1">
        <f t="shared" si="50"/>
        <v>38356.19</v>
      </c>
      <c r="Y77" s="1"/>
      <c r="Z77" s="5">
        <f t="shared" si="51"/>
        <v>0.31233253005847783</v>
      </c>
    </row>
    <row r="78" spans="1:26" s="24" customFormat="1" hidden="1" outlineLevel="2" x14ac:dyDescent="0.3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1584.3</v>
      </c>
      <c r="E78" s="2"/>
      <c r="F78" s="6">
        <f t="shared" si="44"/>
        <v>2.449217652510138E-3</v>
      </c>
      <c r="G78" s="2"/>
      <c r="H78" s="7">
        <v>5550.87</v>
      </c>
      <c r="I78" s="2"/>
      <c r="J78" s="6">
        <f t="shared" si="45"/>
        <v>4.6132457857124991E-2</v>
      </c>
      <c r="K78" s="2"/>
      <c r="L78" s="7">
        <f t="shared" si="46"/>
        <v>-3966.5699999999997</v>
      </c>
      <c r="M78" s="2"/>
      <c r="N78" s="6">
        <f t="shared" si="47"/>
        <v>-0.71458528122618614</v>
      </c>
      <c r="O78" s="11"/>
      <c r="P78" s="7">
        <v>18017.88</v>
      </c>
      <c r="Q78" s="2"/>
      <c r="R78" s="6">
        <f t="shared" si="48"/>
        <v>2.5634662296116859E-3</v>
      </c>
      <c r="S78" s="2"/>
      <c r="T78" s="7">
        <v>15693.42</v>
      </c>
      <c r="U78" s="2"/>
      <c r="V78" s="6">
        <f t="shared" si="49"/>
        <v>1.6501351412209434E-2</v>
      </c>
      <c r="W78" s="2"/>
      <c r="X78" s="7">
        <f t="shared" si="50"/>
        <v>2324.4600000000009</v>
      </c>
      <c r="Y78" s="2"/>
      <c r="Z78" s="6">
        <f t="shared" si="51"/>
        <v>0.14811685407004979</v>
      </c>
    </row>
    <row r="79" spans="1:26" s="24" customFormat="1" hidden="1" outlineLevel="2" x14ac:dyDescent="0.3">
      <c r="A79" s="27"/>
      <c r="B79" s="11" t="str">
        <f>CONCATENATE("          ", "6284", " - ", "TRASH REMOVAL EXPENSE")</f>
        <v xml:space="preserve">          6284 - TRASH REMOVAL EXPENSE</v>
      </c>
      <c r="C79" s="11"/>
      <c r="D79" s="7"/>
      <c r="E79" s="2"/>
      <c r="F79" s="6">
        <f t="shared" si="44"/>
        <v>0</v>
      </c>
      <c r="G79" s="2"/>
      <c r="H79" s="7">
        <v>5369</v>
      </c>
      <c r="I79" s="2"/>
      <c r="J79" s="6">
        <f t="shared" si="45"/>
        <v>4.4620963242681611E-2</v>
      </c>
      <c r="K79" s="2"/>
      <c r="L79" s="7">
        <f t="shared" si="46"/>
        <v>-5369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24519.75</v>
      </c>
      <c r="U79" s="2"/>
      <c r="V79" s="6">
        <f t="shared" si="49"/>
        <v>2.5782080087675106E-2</v>
      </c>
      <c r="W79" s="2"/>
      <c r="X79" s="7">
        <f t="shared" si="50"/>
        <v>-24519.75</v>
      </c>
      <c r="Y79" s="2"/>
      <c r="Z79" s="6">
        <f t="shared" si="51"/>
        <v>-1</v>
      </c>
    </row>
    <row r="80" spans="1:26" s="24" customFormat="1" hidden="1" outlineLevel="2" x14ac:dyDescent="0.3">
      <c r="A80" s="27"/>
      <c r="B80" s="11" t="str">
        <f>CONCATENATE("          ", "6285", " - ", "JANITORIAL SERVICES")</f>
        <v xml:space="preserve">          6285 - JANITORIAL SERVICES</v>
      </c>
      <c r="C80" s="11"/>
      <c r="D80" s="7">
        <v>17415.21</v>
      </c>
      <c r="E80" s="2"/>
      <c r="F80" s="6">
        <f t="shared" si="44"/>
        <v>2.6922703878161383E-2</v>
      </c>
      <c r="G80" s="2"/>
      <c r="H80" s="7">
        <v>8897.19</v>
      </c>
      <c r="I80" s="2"/>
      <c r="J80" s="6">
        <f t="shared" si="45"/>
        <v>7.3943227407925943E-2</v>
      </c>
      <c r="K80" s="2"/>
      <c r="L80" s="7">
        <f t="shared" si="46"/>
        <v>8518.0199999999986</v>
      </c>
      <c r="M80" s="2"/>
      <c r="N80" s="6">
        <f t="shared" si="47"/>
        <v>0.95738317378857796</v>
      </c>
      <c r="O80" s="11"/>
      <c r="P80" s="7">
        <v>123111.19</v>
      </c>
      <c r="Q80" s="2"/>
      <c r="R80" s="6">
        <f t="shared" si="48"/>
        <v>1.7515455650293367E-2</v>
      </c>
      <c r="S80" s="2"/>
      <c r="T80" s="7">
        <v>70969.98</v>
      </c>
      <c r="U80" s="2"/>
      <c r="V80" s="6">
        <f t="shared" si="49"/>
        <v>7.4623669008888768E-2</v>
      </c>
      <c r="W80" s="2"/>
      <c r="X80" s="7">
        <f t="shared" si="50"/>
        <v>52141.210000000006</v>
      </c>
      <c r="Y80" s="2"/>
      <c r="Z80" s="6">
        <f t="shared" si="51"/>
        <v>0.73469388042662553</v>
      </c>
    </row>
    <row r="81" spans="1:26" s="24" customFormat="1" hidden="1" outlineLevel="2" x14ac:dyDescent="0.3">
      <c r="A81" s="27"/>
      <c r="B81" s="11" t="str">
        <f>CONCATENATE("          ", "6286", " - ", "LAUNDRY EXPENSE")</f>
        <v xml:space="preserve">          6286 - LAUNDRY EXPENSE</v>
      </c>
      <c r="C81" s="11"/>
      <c r="D81" s="7">
        <v>2977.82</v>
      </c>
      <c r="E81" s="2"/>
      <c r="F81" s="6">
        <f t="shared" si="44"/>
        <v>4.603502688883254E-3</v>
      </c>
      <c r="G81" s="2"/>
      <c r="H81" s="7">
        <v>773.31</v>
      </c>
      <c r="I81" s="2"/>
      <c r="J81" s="6">
        <f t="shared" si="45"/>
        <v>6.4268647951570331E-3</v>
      </c>
      <c r="K81" s="2"/>
      <c r="L81" s="7">
        <f t="shared" si="46"/>
        <v>2204.5100000000002</v>
      </c>
      <c r="M81" s="2"/>
      <c r="N81" s="6">
        <f t="shared" si="47"/>
        <v>2.8507454966313643</v>
      </c>
      <c r="O81" s="11"/>
      <c r="P81" s="7">
        <v>20032.740000000002</v>
      </c>
      <c r="Q81" s="2"/>
      <c r="R81" s="6">
        <f t="shared" si="48"/>
        <v>2.8501273444262701E-3</v>
      </c>
      <c r="S81" s="2"/>
      <c r="T81" s="7">
        <v>11622.47</v>
      </c>
      <c r="U81" s="2"/>
      <c r="V81" s="6">
        <f t="shared" si="49"/>
        <v>1.2220820047374107E-2</v>
      </c>
      <c r="W81" s="2"/>
      <c r="X81" s="7">
        <f t="shared" si="50"/>
        <v>8410.2700000000023</v>
      </c>
      <c r="Y81" s="2"/>
      <c r="Z81" s="6">
        <f t="shared" si="51"/>
        <v>0.72362157097415636</v>
      </c>
    </row>
    <row r="82" spans="1:26" s="29" customFormat="1" outlineLevel="1" collapsed="1" x14ac:dyDescent="0.3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SUM(OSRRefD22_18x_0)</f>
        <v>560.5</v>
      </c>
      <c r="E82" s="1"/>
      <c r="F82" s="5">
        <f t="shared" ref="F82:F84" si="52">IF(D$12=0,0,D82/D$12)</f>
        <v>8.6649403157983487E-4</v>
      </c>
      <c r="G82" s="1"/>
      <c r="H82" s="1">
        <f>SUM(OSRRefH22_18x_0)</f>
        <v>0</v>
      </c>
      <c r="I82" s="1"/>
      <c r="J82" s="5">
        <f t="shared" ref="J82:J84" si="53">IF(H$12=0,0,H82/H$12)</f>
        <v>0</v>
      </c>
      <c r="K82" s="1"/>
      <c r="L82" s="1">
        <f t="shared" ref="L82:L84" si="54">+D82-H82</f>
        <v>560.5</v>
      </c>
      <c r="M82" s="1"/>
      <c r="N82" s="5">
        <f t="shared" ref="N82:N84" si="55">IF(H82=0,0,L82/H82)</f>
        <v>0</v>
      </c>
      <c r="O82" s="14"/>
      <c r="P82" s="1">
        <f>SUM(OSRRefP22_18x_0)</f>
        <v>4533.1099999999997</v>
      </c>
      <c r="Q82" s="1"/>
      <c r="R82" s="5">
        <f t="shared" ref="R82:R84" si="56">IF(P$12=0,0,P82/P$12)</f>
        <v>6.4494126945650811E-4</v>
      </c>
      <c r="S82" s="1"/>
      <c r="T82" s="1">
        <f>SUM(OSRRefT22_18x_0)</f>
        <v>1329.17</v>
      </c>
      <c r="U82" s="1"/>
      <c r="V82" s="5">
        <f t="shared" ref="V82:V84" si="57">IF(T$12=0,0,T82/T$12)</f>
        <v>1.3975985640202336E-3</v>
      </c>
      <c r="W82" s="1"/>
      <c r="X82" s="1">
        <f t="shared" ref="X82:X84" si="58">+P82-T82</f>
        <v>3203.9399999999996</v>
      </c>
      <c r="Y82" s="1"/>
      <c r="Z82" s="5">
        <f t="shared" ref="Z82:Z84" si="59">IF(T82=0,0,X82/T82)</f>
        <v>2.4104817291994247</v>
      </c>
    </row>
    <row r="83" spans="1:26" s="24" customFormat="1" hidden="1" outlineLevel="2" x14ac:dyDescent="0.3">
      <c r="A83" s="27"/>
      <c r="B83" s="11" t="str">
        <f>CONCATENATE("          ", "6258", " - ", "MEMBERSHIP DUES")</f>
        <v xml:space="preserve">          6258 - MEMBERSHIP DUES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795</v>
      </c>
      <c r="U83" s="2"/>
      <c r="V83" s="6">
        <f t="shared" si="57"/>
        <v>8.3592833000751263E-4</v>
      </c>
      <c r="W83" s="2"/>
      <c r="X83" s="7">
        <f t="shared" si="58"/>
        <v>-795</v>
      </c>
      <c r="Y83" s="2"/>
      <c r="Z83" s="6">
        <f t="shared" si="59"/>
        <v>-1</v>
      </c>
    </row>
    <row r="84" spans="1:26" s="24" customFormat="1" hidden="1" outlineLevel="2" x14ac:dyDescent="0.3">
      <c r="A84" s="27"/>
      <c r="B84" s="11" t="str">
        <f>CONCATENATE("          ", "6275", " - ", "SUBSCRIPTIONS")</f>
        <v xml:space="preserve">          6275 - SUBSCRIPTIONS</v>
      </c>
      <c r="C84" s="11"/>
      <c r="D84" s="7">
        <v>560.5</v>
      </c>
      <c r="E84" s="2"/>
      <c r="F84" s="6">
        <f t="shared" si="52"/>
        <v>8.6649403157983487E-4</v>
      </c>
      <c r="G84" s="2"/>
      <c r="H84" s="7"/>
      <c r="I84" s="2"/>
      <c r="J84" s="6">
        <f t="shared" si="53"/>
        <v>0</v>
      </c>
      <c r="K84" s="2"/>
      <c r="L84" s="7">
        <f t="shared" si="54"/>
        <v>560.5</v>
      </c>
      <c r="M84" s="2"/>
      <c r="N84" s="6">
        <f t="shared" si="55"/>
        <v>0</v>
      </c>
      <c r="O84" s="11"/>
      <c r="P84" s="7">
        <v>4533.1099999999997</v>
      </c>
      <c r="Q84" s="2"/>
      <c r="R84" s="6">
        <f t="shared" si="56"/>
        <v>6.4494126945650811E-4</v>
      </c>
      <c r="S84" s="2"/>
      <c r="T84" s="7">
        <v>534.16999999999996</v>
      </c>
      <c r="U84" s="2"/>
      <c r="V84" s="6">
        <f t="shared" si="57"/>
        <v>5.6167023401272078E-4</v>
      </c>
      <c r="W84" s="2"/>
      <c r="X84" s="7">
        <f t="shared" si="58"/>
        <v>3998.9399999999996</v>
      </c>
      <c r="Y84" s="2"/>
      <c r="Z84" s="6">
        <f t="shared" si="59"/>
        <v>7.4862684164217379</v>
      </c>
    </row>
    <row r="85" spans="1:26" s="29" customFormat="1" outlineLevel="1" collapsed="1" x14ac:dyDescent="0.3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SUM(OSRRefD22_19x_0)</f>
        <v>11479.149999999998</v>
      </c>
      <c r="E85" s="1"/>
      <c r="F85" s="5">
        <f t="shared" ref="F85:F94" si="60">IF(D$12=0,0,D85/D$12)</f>
        <v>1.7745967819107332E-2</v>
      </c>
      <c r="G85" s="1"/>
      <c r="H85" s="1">
        <f>SUM(OSRRefH22_19x_0)</f>
        <v>10874.97</v>
      </c>
      <c r="I85" s="1"/>
      <c r="J85" s="5">
        <f t="shared" ref="J85:J94" si="61">IF(H$12=0,0,H85/H$12)</f>
        <v>9.0380263854584683E-2</v>
      </c>
      <c r="K85" s="1"/>
      <c r="L85" s="1">
        <f t="shared" ref="L85:L94" si="62">+D85-H85</f>
        <v>604.17999999999847</v>
      </c>
      <c r="M85" s="1"/>
      <c r="N85" s="5">
        <f t="shared" ref="N85:N94" si="63">IF(H85=0,0,L85/H85)</f>
        <v>5.5556934869705248E-2</v>
      </c>
      <c r="O85" s="14"/>
      <c r="P85" s="1">
        <f>SUM(OSRRefP22_19x_0)</f>
        <v>239236.83000000002</v>
      </c>
      <c r="Q85" s="1"/>
      <c r="R85" s="5">
        <f t="shared" ref="R85:R94" si="64">IF(P$12=0,0,P85/P$12)</f>
        <v>3.4037052893256689E-2</v>
      </c>
      <c r="S85" s="1"/>
      <c r="T85" s="1">
        <f>SUM(OSRRefT22_19x_0)</f>
        <v>79069.429999999993</v>
      </c>
      <c r="U85" s="1"/>
      <c r="V85" s="5">
        <f t="shared" ref="V85:V94" si="65">IF(T$12=0,0,T85/T$12)</f>
        <v>8.3140096320183543E-2</v>
      </c>
      <c r="W85" s="1"/>
      <c r="X85" s="1">
        <f t="shared" ref="X85:X94" si="66">+P85-T85</f>
        <v>160167.40000000002</v>
      </c>
      <c r="Y85" s="1"/>
      <c r="Z85" s="5">
        <f t="shared" ref="Z85:Z94" si="67">IF(T85=0,0,X85/T85)</f>
        <v>2.0256551741931115</v>
      </c>
    </row>
    <row r="86" spans="1:26" s="24" customFormat="1" hidden="1" outlineLevel="2" x14ac:dyDescent="0.3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7">
        <v>57.77</v>
      </c>
      <c r="E86" s="2"/>
      <c r="F86" s="6">
        <f t="shared" si="60"/>
        <v>8.9308403576034021E-5</v>
      </c>
      <c r="G86" s="2"/>
      <c r="H86" s="7"/>
      <c r="I86" s="2"/>
      <c r="J86" s="6">
        <f t="shared" si="61"/>
        <v>0</v>
      </c>
      <c r="K86" s="2"/>
      <c r="L86" s="7">
        <f t="shared" si="62"/>
        <v>57.77</v>
      </c>
      <c r="M86" s="2"/>
      <c r="N86" s="6">
        <f t="shared" si="63"/>
        <v>0</v>
      </c>
      <c r="O86" s="11"/>
      <c r="P86" s="7">
        <v>394.75</v>
      </c>
      <c r="Q86" s="2"/>
      <c r="R86" s="6">
        <f t="shared" si="64"/>
        <v>5.6162450529097375E-5</v>
      </c>
      <c r="S86" s="2"/>
      <c r="T86" s="7">
        <v>310.91000000000003</v>
      </c>
      <c r="U86" s="2"/>
      <c r="V86" s="6">
        <f t="shared" si="65"/>
        <v>3.2691632337438463E-4</v>
      </c>
      <c r="W86" s="2"/>
      <c r="X86" s="7">
        <f t="shared" si="66"/>
        <v>83.839999999999975</v>
      </c>
      <c r="Y86" s="2"/>
      <c r="Z86" s="6">
        <f t="shared" si="67"/>
        <v>0.26966003023382962</v>
      </c>
    </row>
    <row r="87" spans="1:26" s="24" customFormat="1" hidden="1" outlineLevel="2" x14ac:dyDescent="0.3">
      <c r="A87" s="27"/>
      <c r="B87" s="11" t="str">
        <f>CONCATENATE("          ", "6235", " - ", "COVID-19 EXPENSES")</f>
        <v xml:space="preserve">          6235 - COVID-19 EXPENSES</v>
      </c>
      <c r="C87" s="11"/>
      <c r="D87" s="7">
        <v>318.42</v>
      </c>
      <c r="E87" s="2"/>
      <c r="F87" s="6">
        <f t="shared" si="60"/>
        <v>4.922551820439804E-4</v>
      </c>
      <c r="G87" s="2"/>
      <c r="H87" s="7">
        <v>2921.2</v>
      </c>
      <c r="I87" s="2"/>
      <c r="J87" s="6">
        <f t="shared" si="61"/>
        <v>2.4277660239247812E-2</v>
      </c>
      <c r="K87" s="2"/>
      <c r="L87" s="7">
        <f t="shared" si="62"/>
        <v>-2602.7799999999997</v>
      </c>
      <c r="M87" s="2"/>
      <c r="N87" s="6">
        <f t="shared" si="63"/>
        <v>-0.89099685060933864</v>
      </c>
      <c r="O87" s="11"/>
      <c r="P87" s="7">
        <v>511.92</v>
      </c>
      <c r="Q87" s="2"/>
      <c r="R87" s="6">
        <f t="shared" si="64"/>
        <v>7.2832632488551059E-5</v>
      </c>
      <c r="S87" s="2"/>
      <c r="T87" s="7">
        <v>57530.21</v>
      </c>
      <c r="U87" s="2"/>
      <c r="V87" s="6">
        <f t="shared" si="65"/>
        <v>6.0491990402869816E-2</v>
      </c>
      <c r="W87" s="2"/>
      <c r="X87" s="7">
        <f t="shared" si="66"/>
        <v>-57018.29</v>
      </c>
      <c r="Y87" s="2"/>
      <c r="Z87" s="6">
        <f t="shared" si="67"/>
        <v>-0.99110171855795415</v>
      </c>
    </row>
    <row r="88" spans="1:26" s="24" customFormat="1" hidden="1" outlineLevel="2" x14ac:dyDescent="0.3">
      <c r="A88" s="27"/>
      <c r="B88" s="11" t="str">
        <f>CONCATENATE("          ", "6237", " - ", "JANITORIAL SUPPLIES")</f>
        <v xml:space="preserve">          6237 - JANITORIAL SUPPLIES</v>
      </c>
      <c r="C88" s="11"/>
      <c r="D88" s="7">
        <v>2238.52</v>
      </c>
      <c r="E88" s="2"/>
      <c r="F88" s="6">
        <f t="shared" si="60"/>
        <v>3.460596288264214E-3</v>
      </c>
      <c r="G88" s="2"/>
      <c r="H88" s="7">
        <v>4171.3599999999997</v>
      </c>
      <c r="I88" s="2"/>
      <c r="J88" s="6">
        <f t="shared" si="61"/>
        <v>3.4667554708882907E-2</v>
      </c>
      <c r="K88" s="2"/>
      <c r="L88" s="7">
        <f t="shared" si="62"/>
        <v>-1932.8399999999997</v>
      </c>
      <c r="M88" s="2"/>
      <c r="N88" s="6">
        <f t="shared" si="63"/>
        <v>-0.46335967166583558</v>
      </c>
      <c r="O88" s="11"/>
      <c r="P88" s="7">
        <v>39883.75</v>
      </c>
      <c r="Q88" s="2"/>
      <c r="R88" s="6">
        <f t="shared" si="64"/>
        <v>5.6743993319566498E-3</v>
      </c>
      <c r="S88" s="2"/>
      <c r="T88" s="7">
        <v>17594.72</v>
      </c>
      <c r="U88" s="2"/>
      <c r="V88" s="6">
        <f t="shared" si="65"/>
        <v>1.8500534473647526E-2</v>
      </c>
      <c r="W88" s="2"/>
      <c r="X88" s="7">
        <f t="shared" si="66"/>
        <v>22289.03</v>
      </c>
      <c r="Y88" s="2"/>
      <c r="Z88" s="6">
        <f t="shared" si="67"/>
        <v>1.2668021997508343</v>
      </c>
    </row>
    <row r="89" spans="1:26" s="24" customFormat="1" hidden="1" outlineLevel="2" x14ac:dyDescent="0.3">
      <c r="A89" s="27"/>
      <c r="B89" s="11" t="str">
        <f>CONCATENATE("          ", "6239", " - ", "KITCHEN SUPPLIES")</f>
        <v xml:space="preserve">          6239 - KITCHEN SUPPLIES</v>
      </c>
      <c r="C89" s="11"/>
      <c r="D89" s="7">
        <v>1944.52</v>
      </c>
      <c r="E89" s="2"/>
      <c r="F89" s="6">
        <f t="shared" si="60"/>
        <v>3.0060927284346487E-3</v>
      </c>
      <c r="G89" s="2"/>
      <c r="H89" s="7">
        <v>979.48</v>
      </c>
      <c r="I89" s="2"/>
      <c r="J89" s="6">
        <f t="shared" si="61"/>
        <v>8.140313108016722E-3</v>
      </c>
      <c r="K89" s="2"/>
      <c r="L89" s="7">
        <f t="shared" si="62"/>
        <v>965.04</v>
      </c>
      <c r="M89" s="2"/>
      <c r="N89" s="6">
        <f t="shared" si="63"/>
        <v>0.9852574835627067</v>
      </c>
      <c r="O89" s="11"/>
      <c r="P89" s="7">
        <v>28960.23</v>
      </c>
      <c r="Q89" s="2"/>
      <c r="R89" s="6">
        <f t="shared" si="64"/>
        <v>4.120272285462398E-3</v>
      </c>
      <c r="S89" s="2"/>
      <c r="T89" s="7">
        <v>6813.86</v>
      </c>
      <c r="U89" s="2"/>
      <c r="V89" s="6">
        <f t="shared" si="65"/>
        <v>7.1646523405094215E-3</v>
      </c>
      <c r="W89" s="2"/>
      <c r="X89" s="7">
        <f t="shared" si="66"/>
        <v>22146.37</v>
      </c>
      <c r="Y89" s="2"/>
      <c r="Z89" s="6">
        <f t="shared" si="67"/>
        <v>3.2501944565928858</v>
      </c>
    </row>
    <row r="90" spans="1:26" s="24" customFormat="1" hidden="1" outlineLevel="2" x14ac:dyDescent="0.3">
      <c r="A90" s="27"/>
      <c r="B90" s="11" t="str">
        <f>CONCATENATE("          ", "6241", " - ", "OFFICE EXPENSE")</f>
        <v xml:space="preserve">          6241 - OFFICE EXPENSE</v>
      </c>
      <c r="C90" s="11"/>
      <c r="D90" s="7">
        <v>792.05</v>
      </c>
      <c r="E90" s="2"/>
      <c r="F90" s="6">
        <f t="shared" si="60"/>
        <v>1.224454233207508E-3</v>
      </c>
      <c r="G90" s="2"/>
      <c r="H90" s="7">
        <v>1030.8499999999999</v>
      </c>
      <c r="I90" s="2"/>
      <c r="J90" s="6">
        <f t="shared" si="61"/>
        <v>8.5672415642984411E-3</v>
      </c>
      <c r="K90" s="2"/>
      <c r="L90" s="7">
        <f t="shared" si="62"/>
        <v>-238.79999999999995</v>
      </c>
      <c r="M90" s="2"/>
      <c r="N90" s="6">
        <f t="shared" si="63"/>
        <v>-0.23165348983848277</v>
      </c>
      <c r="O90" s="11"/>
      <c r="P90" s="7">
        <v>21066.66</v>
      </c>
      <c r="Q90" s="2"/>
      <c r="R90" s="6">
        <f t="shared" si="64"/>
        <v>2.9972267259361987E-3</v>
      </c>
      <c r="S90" s="2"/>
      <c r="T90" s="7">
        <v>-24799.1</v>
      </c>
      <c r="U90" s="2"/>
      <c r="V90" s="6">
        <f t="shared" si="65"/>
        <v>-2.6075811633571453E-2</v>
      </c>
      <c r="W90" s="2"/>
      <c r="X90" s="7">
        <f t="shared" si="66"/>
        <v>45865.759999999995</v>
      </c>
      <c r="Y90" s="2"/>
      <c r="Z90" s="6">
        <f t="shared" si="67"/>
        <v>-1.8494929251464769</v>
      </c>
    </row>
    <row r="91" spans="1:26" s="24" customFormat="1" hidden="1" outlineLevel="2" x14ac:dyDescent="0.3">
      <c r="A91" s="27"/>
      <c r="B91" s="11" t="str">
        <f>CONCATENATE("          ", "6243", " - ", "PAPER SUPPLIES")</f>
        <v xml:space="preserve">          6243 - PAPER SUPPLIES</v>
      </c>
      <c r="C91" s="11"/>
      <c r="D91" s="7">
        <v>5583.57</v>
      </c>
      <c r="E91" s="2"/>
      <c r="F91" s="6">
        <f t="shared" si="60"/>
        <v>8.6318110257060099E-3</v>
      </c>
      <c r="G91" s="2"/>
      <c r="H91" s="7">
        <v>1772.08</v>
      </c>
      <c r="I91" s="2"/>
      <c r="J91" s="6">
        <f t="shared" si="61"/>
        <v>1.4727494234138801E-2</v>
      </c>
      <c r="K91" s="2"/>
      <c r="L91" s="7">
        <f t="shared" si="62"/>
        <v>3811.49</v>
      </c>
      <c r="M91" s="2"/>
      <c r="N91" s="6">
        <f t="shared" si="63"/>
        <v>2.1508566204686019</v>
      </c>
      <c r="O91" s="11"/>
      <c r="P91" s="7">
        <v>139194.72</v>
      </c>
      <c r="Q91" s="2"/>
      <c r="R91" s="6">
        <f t="shared" si="64"/>
        <v>1.980371520180256E-2</v>
      </c>
      <c r="S91" s="2"/>
      <c r="T91" s="7">
        <v>17118.240000000002</v>
      </c>
      <c r="U91" s="2"/>
      <c r="V91" s="6">
        <f t="shared" si="65"/>
        <v>1.7999524246374597E-2</v>
      </c>
      <c r="W91" s="2"/>
      <c r="X91" s="7">
        <f t="shared" si="66"/>
        <v>122076.48</v>
      </c>
      <c r="Y91" s="2"/>
      <c r="Z91" s="6">
        <f t="shared" si="67"/>
        <v>7.1313686453747573</v>
      </c>
    </row>
    <row r="92" spans="1:26" s="24" customFormat="1" hidden="1" outlineLevel="2" x14ac:dyDescent="0.3">
      <c r="A92" s="27"/>
      <c r="B92" s="11" t="str">
        <f>CONCATENATE("          ", "6245", " - ", "PRINTING")</f>
        <v xml:space="preserve">          6245 - PRINTING</v>
      </c>
      <c r="C92" s="11"/>
      <c r="D92" s="7"/>
      <c r="E92" s="2"/>
      <c r="F92" s="6">
        <f t="shared" si="60"/>
        <v>0</v>
      </c>
      <c r="G92" s="2"/>
      <c r="H92" s="7"/>
      <c r="I92" s="2"/>
      <c r="J92" s="6">
        <f t="shared" si="61"/>
        <v>0</v>
      </c>
      <c r="K92" s="2"/>
      <c r="L92" s="7">
        <f t="shared" si="62"/>
        <v>0</v>
      </c>
      <c r="M92" s="2"/>
      <c r="N92" s="6">
        <f t="shared" si="63"/>
        <v>0</v>
      </c>
      <c r="O92" s="11"/>
      <c r="P92" s="7">
        <v>1071</v>
      </c>
      <c r="Q92" s="2"/>
      <c r="R92" s="6">
        <f t="shared" si="64"/>
        <v>1.5237488161282657E-4</v>
      </c>
      <c r="S92" s="2"/>
      <c r="T92" s="7"/>
      <c r="U92" s="2"/>
      <c r="V92" s="6">
        <f t="shared" si="65"/>
        <v>0</v>
      </c>
      <c r="W92" s="2"/>
      <c r="X92" s="7">
        <f t="shared" si="66"/>
        <v>1071</v>
      </c>
      <c r="Y92" s="2"/>
      <c r="Z92" s="6">
        <f t="shared" si="67"/>
        <v>0</v>
      </c>
    </row>
    <row r="93" spans="1:26" s="24" customFormat="1" hidden="1" outlineLevel="2" x14ac:dyDescent="0.3">
      <c r="A93" s="27"/>
      <c r="B93" s="11" t="str">
        <f>CONCATENATE("          ", "6247", " - ", "STORE SUPPLIES")</f>
        <v xml:space="preserve">          6247 - STORE SUPPLIES</v>
      </c>
      <c r="C93" s="11"/>
      <c r="D93" s="7">
        <v>195</v>
      </c>
      <c r="E93" s="2"/>
      <c r="F93" s="6">
        <f t="shared" si="60"/>
        <v>3.0145644274409954E-4</v>
      </c>
      <c r="G93" s="2"/>
      <c r="H93" s="7"/>
      <c r="I93" s="2"/>
      <c r="J93" s="6">
        <f t="shared" si="61"/>
        <v>0</v>
      </c>
      <c r="K93" s="2"/>
      <c r="L93" s="7">
        <f t="shared" si="62"/>
        <v>195</v>
      </c>
      <c r="M93" s="2"/>
      <c r="N93" s="6">
        <f t="shared" si="63"/>
        <v>0</v>
      </c>
      <c r="O93" s="11"/>
      <c r="P93" s="7">
        <v>1940.32</v>
      </c>
      <c r="Q93" s="2"/>
      <c r="R93" s="6">
        <f t="shared" si="64"/>
        <v>2.7605605069187642E-4</v>
      </c>
      <c r="S93" s="2"/>
      <c r="T93" s="7"/>
      <c r="U93" s="2"/>
      <c r="V93" s="6">
        <f t="shared" si="65"/>
        <v>0</v>
      </c>
      <c r="W93" s="2"/>
      <c r="X93" s="7">
        <f t="shared" si="66"/>
        <v>1940.32</v>
      </c>
      <c r="Y93" s="2"/>
      <c r="Z93" s="6">
        <f t="shared" si="67"/>
        <v>0</v>
      </c>
    </row>
    <row r="94" spans="1:26" s="24" customFormat="1" hidden="1" outlineLevel="2" x14ac:dyDescent="0.3">
      <c r="A94" s="27"/>
      <c r="B94" s="11" t="str">
        <f>CONCATENATE("          ", "6248", " - ", "UNIFORMS")</f>
        <v xml:space="preserve">          6248 - UNIFORMS</v>
      </c>
      <c r="C94" s="11"/>
      <c r="D94" s="7">
        <v>349.3</v>
      </c>
      <c r="E94" s="2"/>
      <c r="F94" s="6">
        <f t="shared" si="60"/>
        <v>5.3999351513084098E-4</v>
      </c>
      <c r="G94" s="2"/>
      <c r="H94" s="7"/>
      <c r="I94" s="2"/>
      <c r="J94" s="6">
        <f t="shared" si="61"/>
        <v>0</v>
      </c>
      <c r="K94" s="2"/>
      <c r="L94" s="7">
        <f t="shared" si="62"/>
        <v>349.3</v>
      </c>
      <c r="M94" s="2"/>
      <c r="N94" s="6">
        <f t="shared" si="63"/>
        <v>0</v>
      </c>
      <c r="O94" s="11"/>
      <c r="P94" s="7">
        <v>6213.48</v>
      </c>
      <c r="Q94" s="2"/>
      <c r="R94" s="6">
        <f t="shared" si="64"/>
        <v>8.8401333277653182E-4</v>
      </c>
      <c r="S94" s="2"/>
      <c r="T94" s="7">
        <v>4500.59</v>
      </c>
      <c r="U94" s="2"/>
      <c r="V94" s="6">
        <f t="shared" si="65"/>
        <v>4.7322901669792595E-3</v>
      </c>
      <c r="W94" s="2"/>
      <c r="X94" s="7">
        <f t="shared" si="66"/>
        <v>1712.8899999999994</v>
      </c>
      <c r="Y94" s="2"/>
      <c r="Z94" s="6">
        <f t="shared" si="67"/>
        <v>0.38059232233995971</v>
      </c>
    </row>
    <row r="95" spans="1:26" s="29" customFormat="1" outlineLevel="1" collapsed="1" x14ac:dyDescent="0.3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SUM(OSRRefD22_20x_0)</f>
        <v>1654.65</v>
      </c>
      <c r="E95" s="1"/>
      <c r="F95" s="5">
        <f t="shared" ref="F95:F101" si="68">IF(D$12=0,0,D95/D$12)</f>
        <v>2.5579738614693558E-3</v>
      </c>
      <c r="G95" s="1"/>
      <c r="H95" s="1">
        <f>SUM(OSRRefH22_20x_0)</f>
        <v>496</v>
      </c>
      <c r="I95" s="1"/>
      <c r="J95" s="5">
        <f t="shared" ref="J95:J101" si="69">IF(H$12=0,0,H95/H$12)</f>
        <v>4.1221824861929742E-3</v>
      </c>
      <c r="K95" s="1"/>
      <c r="L95" s="1">
        <f t="shared" ref="L95:L101" si="70">+D95-H95</f>
        <v>1158.6500000000001</v>
      </c>
      <c r="M95" s="1"/>
      <c r="N95" s="5">
        <f t="shared" ref="N95:N101" si="71">IF(H95=0,0,L95/H95)</f>
        <v>2.3359879032258068</v>
      </c>
      <c r="O95" s="14"/>
      <c r="P95" s="1">
        <f>SUM(OSRRefP22_20x_0)</f>
        <v>9585.44</v>
      </c>
      <c r="Q95" s="1"/>
      <c r="R95" s="5">
        <f t="shared" ref="R95:R101" si="72">IF(P$12=0,0,P95/P$12)</f>
        <v>1.3637537677001423E-3</v>
      </c>
      <c r="S95" s="1"/>
      <c r="T95" s="1">
        <f>SUM(OSRRefT22_20x_0)</f>
        <v>8930.59</v>
      </c>
      <c r="U95" s="1"/>
      <c r="V95" s="5">
        <f t="shared" ref="V95:V101" si="73">IF(T$12=0,0,T95/T$12)</f>
        <v>9.3903562071469097E-3</v>
      </c>
      <c r="W95" s="1"/>
      <c r="X95" s="1">
        <f t="shared" ref="X95:X101" si="74">+P95-T95</f>
        <v>654.85000000000036</v>
      </c>
      <c r="Y95" s="1"/>
      <c r="Z95" s="5">
        <f t="shared" ref="Z95:Z101" si="75">IF(T95=0,0,X95/T95)</f>
        <v>7.3326622317226559E-2</v>
      </c>
    </row>
    <row r="96" spans="1:26" s="24" customFormat="1" hidden="1" outlineLevel="2" x14ac:dyDescent="0.3">
      <c r="A96" s="27"/>
      <c r="B96" s="11" t="str">
        <f>CONCATENATE("          ", "6309", " - ", "TELEPHONE")</f>
        <v xml:space="preserve">          6309 - TELEPHONE</v>
      </c>
      <c r="C96" s="11"/>
      <c r="D96" s="7">
        <v>1654.65</v>
      </c>
      <c r="E96" s="2"/>
      <c r="F96" s="6">
        <f t="shared" si="68"/>
        <v>2.5579738614693558E-3</v>
      </c>
      <c r="G96" s="2"/>
      <c r="H96" s="7">
        <v>496</v>
      </c>
      <c r="I96" s="2"/>
      <c r="J96" s="6">
        <f t="shared" si="69"/>
        <v>4.1221824861929742E-3</v>
      </c>
      <c r="K96" s="2"/>
      <c r="L96" s="7">
        <f t="shared" si="70"/>
        <v>1158.6500000000001</v>
      </c>
      <c r="M96" s="2"/>
      <c r="N96" s="6">
        <f t="shared" si="71"/>
        <v>2.3359879032258068</v>
      </c>
      <c r="O96" s="11"/>
      <c r="P96" s="7">
        <v>9585.44</v>
      </c>
      <c r="Q96" s="2"/>
      <c r="R96" s="6">
        <f t="shared" si="72"/>
        <v>1.3637537677001423E-3</v>
      </c>
      <c r="S96" s="2"/>
      <c r="T96" s="7">
        <v>8930.59</v>
      </c>
      <c r="U96" s="2"/>
      <c r="V96" s="6">
        <f t="shared" si="73"/>
        <v>9.3903562071469097E-3</v>
      </c>
      <c r="W96" s="2"/>
      <c r="X96" s="7">
        <f t="shared" si="74"/>
        <v>654.85000000000036</v>
      </c>
      <c r="Y96" s="2"/>
      <c r="Z96" s="6">
        <f t="shared" si="75"/>
        <v>7.3326622317226559E-2</v>
      </c>
    </row>
    <row r="97" spans="1:26" s="29" customFormat="1" outlineLevel="1" collapsed="1" x14ac:dyDescent="0.3">
      <c r="A97" s="28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SUM(OSRRefD22_21x_0)</f>
        <v>323.87</v>
      </c>
      <c r="E97" s="1"/>
      <c r="F97" s="5">
        <f t="shared" si="68"/>
        <v>5.0068050313605917E-4</v>
      </c>
      <c r="G97" s="1"/>
      <c r="H97" s="1">
        <f>SUM(OSRRefH22_21x_0)</f>
        <v>0</v>
      </c>
      <c r="I97" s="1"/>
      <c r="J97" s="5">
        <f t="shared" si="69"/>
        <v>0</v>
      </c>
      <c r="K97" s="1"/>
      <c r="L97" s="1">
        <f t="shared" si="70"/>
        <v>323.87</v>
      </c>
      <c r="M97" s="1"/>
      <c r="N97" s="5">
        <f t="shared" si="71"/>
        <v>0</v>
      </c>
      <c r="O97" s="14"/>
      <c r="P97" s="1">
        <f>SUM(OSRRefP22_21x_0)</f>
        <v>1393.87</v>
      </c>
      <c r="Q97" s="1"/>
      <c r="R97" s="5">
        <f t="shared" si="72"/>
        <v>1.9831071543760089E-4</v>
      </c>
      <c r="S97" s="1"/>
      <c r="T97" s="1">
        <f>SUM(OSRRefT22_21x_0)</f>
        <v>1135</v>
      </c>
      <c r="U97" s="1"/>
      <c r="V97" s="5">
        <f t="shared" si="73"/>
        <v>1.1934322698849394E-3</v>
      </c>
      <c r="W97" s="1"/>
      <c r="X97" s="1">
        <f t="shared" si="74"/>
        <v>258.86999999999989</v>
      </c>
      <c r="Y97" s="1"/>
      <c r="Z97" s="5">
        <f t="shared" si="75"/>
        <v>0.22807929515418493</v>
      </c>
    </row>
    <row r="98" spans="1:26" s="24" customFormat="1" hidden="1" outlineLevel="2" x14ac:dyDescent="0.3">
      <c r="A98" s="27"/>
      <c r="B98" s="11" t="str">
        <f>CONCATENATE("          ", "6376", " - ", "TRAINING")</f>
        <v xml:space="preserve">          6376 - TRAINING</v>
      </c>
      <c r="C98" s="11"/>
      <c r="D98" s="7">
        <v>323.87</v>
      </c>
      <c r="E98" s="2"/>
      <c r="F98" s="6">
        <f t="shared" si="68"/>
        <v>5.0068050313605917E-4</v>
      </c>
      <c r="G98" s="2"/>
      <c r="H98" s="7"/>
      <c r="I98" s="2"/>
      <c r="J98" s="6">
        <f t="shared" si="69"/>
        <v>0</v>
      </c>
      <c r="K98" s="2"/>
      <c r="L98" s="7">
        <f t="shared" si="70"/>
        <v>323.87</v>
      </c>
      <c r="M98" s="2"/>
      <c r="N98" s="6">
        <f t="shared" si="71"/>
        <v>0</v>
      </c>
      <c r="O98" s="11"/>
      <c r="P98" s="7">
        <v>1393.87</v>
      </c>
      <c r="Q98" s="2"/>
      <c r="R98" s="6">
        <f t="shared" si="72"/>
        <v>1.9831071543760089E-4</v>
      </c>
      <c r="S98" s="2"/>
      <c r="T98" s="7">
        <v>1135</v>
      </c>
      <c r="U98" s="2"/>
      <c r="V98" s="6">
        <f t="shared" si="73"/>
        <v>1.1934322698849394E-3</v>
      </c>
      <c r="W98" s="2"/>
      <c r="X98" s="7">
        <f t="shared" si="74"/>
        <v>258.86999999999989</v>
      </c>
      <c r="Y98" s="2"/>
      <c r="Z98" s="6">
        <f t="shared" si="75"/>
        <v>0.22807929515418493</v>
      </c>
    </row>
    <row r="99" spans="1:26" s="29" customFormat="1" outlineLevel="1" collapsed="1" x14ac:dyDescent="0.3">
      <c r="A99" s="28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SUM(OSRRefD22_22x_0)</f>
        <v>0</v>
      </c>
      <c r="E99" s="1"/>
      <c r="F99" s="5">
        <f t="shared" si="68"/>
        <v>0</v>
      </c>
      <c r="G99" s="1"/>
      <c r="H99" s="1">
        <f>SUM(OSRRefH22_22x_0)</f>
        <v>0</v>
      </c>
      <c r="I99" s="1"/>
      <c r="J99" s="5">
        <f t="shared" si="69"/>
        <v>0</v>
      </c>
      <c r="K99" s="1"/>
      <c r="L99" s="1">
        <f t="shared" si="70"/>
        <v>0</v>
      </c>
      <c r="M99" s="1"/>
      <c r="N99" s="5">
        <f t="shared" si="71"/>
        <v>0</v>
      </c>
      <c r="O99" s="14"/>
      <c r="P99" s="1">
        <f>SUM(OSRRefP22_22x_0)</f>
        <v>717.61</v>
      </c>
      <c r="Q99" s="1"/>
      <c r="R99" s="5">
        <f t="shared" si="72"/>
        <v>1.0209686161921613E-4</v>
      </c>
      <c r="S99" s="1"/>
      <c r="T99" s="1">
        <f>SUM(OSRRefT22_22x_0)</f>
        <v>332.21</v>
      </c>
      <c r="U99" s="1"/>
      <c r="V99" s="5">
        <f t="shared" si="73"/>
        <v>3.4931289372552924E-4</v>
      </c>
      <c r="W99" s="1"/>
      <c r="X99" s="1">
        <f t="shared" si="74"/>
        <v>385.40000000000003</v>
      </c>
      <c r="Y99" s="1"/>
      <c r="Z99" s="5">
        <f t="shared" si="75"/>
        <v>1.1601095692483672</v>
      </c>
    </row>
    <row r="100" spans="1:26" s="24" customFormat="1" hidden="1" outlineLevel="2" x14ac:dyDescent="0.3">
      <c r="A100" s="27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68"/>
        <v>0</v>
      </c>
      <c r="G100" s="2"/>
      <c r="H100" s="7"/>
      <c r="I100" s="2"/>
      <c r="J100" s="6">
        <f t="shared" si="69"/>
        <v>0</v>
      </c>
      <c r="K100" s="2"/>
      <c r="L100" s="7">
        <f t="shared" si="70"/>
        <v>0</v>
      </c>
      <c r="M100" s="2"/>
      <c r="N100" s="6">
        <f t="shared" si="71"/>
        <v>0</v>
      </c>
      <c r="O100" s="11"/>
      <c r="P100" s="7">
        <v>613.59</v>
      </c>
      <c r="Q100" s="2"/>
      <c r="R100" s="6">
        <f t="shared" si="72"/>
        <v>8.729757573185271E-5</v>
      </c>
      <c r="S100" s="2"/>
      <c r="T100" s="7"/>
      <c r="U100" s="2"/>
      <c r="V100" s="6">
        <f t="shared" si="73"/>
        <v>0</v>
      </c>
      <c r="W100" s="2"/>
      <c r="X100" s="7">
        <f t="shared" si="74"/>
        <v>613.59</v>
      </c>
      <c r="Y100" s="2"/>
      <c r="Z100" s="6">
        <f t="shared" si="75"/>
        <v>0</v>
      </c>
    </row>
    <row r="101" spans="1:26" s="24" customFormat="1" hidden="1" outlineLevel="2" x14ac:dyDescent="0.3">
      <c r="A101" s="27"/>
      <c r="B101" s="11" t="str">
        <f>CONCATENATE("          ", "6298", " - ", "VEHICLE MILEAGE")</f>
        <v xml:space="preserve">          6298 - VEHICLE MILEAGE</v>
      </c>
      <c r="C101" s="11"/>
      <c r="D101" s="7"/>
      <c r="E101" s="2"/>
      <c r="F101" s="6">
        <f t="shared" si="68"/>
        <v>0</v>
      </c>
      <c r="G101" s="2"/>
      <c r="H101" s="7"/>
      <c r="I101" s="2"/>
      <c r="J101" s="6">
        <f t="shared" si="69"/>
        <v>0</v>
      </c>
      <c r="K101" s="2"/>
      <c r="L101" s="7">
        <f t="shared" si="70"/>
        <v>0</v>
      </c>
      <c r="M101" s="2"/>
      <c r="N101" s="6">
        <f t="shared" si="71"/>
        <v>0</v>
      </c>
      <c r="O101" s="11"/>
      <c r="P101" s="7">
        <v>104.02</v>
      </c>
      <c r="Q101" s="2"/>
      <c r="R101" s="6">
        <f t="shared" si="72"/>
        <v>1.4799285887363416E-5</v>
      </c>
      <c r="S101" s="2"/>
      <c r="T101" s="7">
        <v>332.21</v>
      </c>
      <c r="U101" s="2"/>
      <c r="V101" s="6">
        <f t="shared" si="73"/>
        <v>3.4931289372552924E-4</v>
      </c>
      <c r="W101" s="2"/>
      <c r="X101" s="7">
        <f t="shared" si="74"/>
        <v>-228.19</v>
      </c>
      <c r="Y101" s="2"/>
      <c r="Z101" s="6">
        <f t="shared" si="75"/>
        <v>-0.68688480178200539</v>
      </c>
    </row>
    <row r="102" spans="1:26" s="29" customFormat="1" outlineLevel="1" collapsed="1" x14ac:dyDescent="0.3">
      <c r="A102" s="28"/>
      <c r="B102" s="14" t="str">
        <f>CONCATENATE("     ","Utilities                                         ")</f>
        <v xml:space="preserve">     Utilities                                         </v>
      </c>
      <c r="C102" s="14"/>
      <c r="D102" s="1">
        <f>SUM(OSRRefD22_23x_0)</f>
        <v>8150</v>
      </c>
      <c r="E102" s="1"/>
      <c r="F102" s="5">
        <f t="shared" ref="F102:F103" si="76">IF(D$12=0,0,D102/D$12)</f>
        <v>1.2599333376227751E-2</v>
      </c>
      <c r="G102" s="1"/>
      <c r="H102" s="1">
        <f>SUM(OSRRefH22_23x_0)</f>
        <v>3660</v>
      </c>
      <c r="I102" s="1"/>
      <c r="J102" s="5">
        <f t="shared" ref="J102:J103" si="77">IF(H$12=0,0,H102/H$12)</f>
        <v>3.0417717539246544E-2</v>
      </c>
      <c r="K102" s="1"/>
      <c r="L102" s="1">
        <f t="shared" ref="L102:L103" si="78">+D102-H102</f>
        <v>4490</v>
      </c>
      <c r="M102" s="1"/>
      <c r="N102" s="5">
        <f t="shared" ref="N102:N103" si="79">IF(H102=0,0,L102/H102)</f>
        <v>1.2267759562841529</v>
      </c>
      <c r="O102" s="14"/>
      <c r="P102" s="1">
        <f>SUM(OSRRefP22_23x_0)</f>
        <v>54650</v>
      </c>
      <c r="Q102" s="1"/>
      <c r="R102" s="5">
        <f t="shared" ref="R102:R103" si="80">IF(P$12=0,0,P102/P$12)</f>
        <v>7.7752448927553425E-3</v>
      </c>
      <c r="S102" s="1"/>
      <c r="T102" s="1">
        <f>SUM(OSRRefT22_23x_0)</f>
        <v>4652</v>
      </c>
      <c r="U102" s="1"/>
      <c r="V102" s="5">
        <f t="shared" ref="V102:V103" si="81">IF(T$12=0,0,T102/T$12)</f>
        <v>4.8914950832640866E-3</v>
      </c>
      <c r="W102" s="1"/>
      <c r="X102" s="1">
        <f t="shared" ref="X102:X103" si="82">+P102-T102</f>
        <v>49998</v>
      </c>
      <c r="Y102" s="1"/>
      <c r="Z102" s="5">
        <f t="shared" ref="Z102:Z103" si="83">IF(T102=0,0,X102/T102)</f>
        <v>10.747635425623388</v>
      </c>
    </row>
    <row r="103" spans="1:26" s="24" customFormat="1" hidden="1" outlineLevel="2" x14ac:dyDescent="0.3">
      <c r="A103" s="27"/>
      <c r="B103" s="11" t="str">
        <f>CONCATENATE("          ", "6274", " - ", "UTILITIES")</f>
        <v xml:space="preserve">          6274 - UTILITIES</v>
      </c>
      <c r="C103" s="11"/>
      <c r="D103" s="7">
        <v>8150</v>
      </c>
      <c r="E103" s="2"/>
      <c r="F103" s="6">
        <f t="shared" si="76"/>
        <v>1.2599333376227751E-2</v>
      </c>
      <c r="G103" s="2"/>
      <c r="H103" s="7">
        <v>3660</v>
      </c>
      <c r="I103" s="2"/>
      <c r="J103" s="6">
        <f t="shared" si="77"/>
        <v>3.0417717539246544E-2</v>
      </c>
      <c r="K103" s="2"/>
      <c r="L103" s="7">
        <f t="shared" si="78"/>
        <v>4490</v>
      </c>
      <c r="M103" s="2"/>
      <c r="N103" s="6">
        <f t="shared" si="79"/>
        <v>1.2267759562841529</v>
      </c>
      <c r="O103" s="11"/>
      <c r="P103" s="7">
        <v>54650</v>
      </c>
      <c r="Q103" s="2"/>
      <c r="R103" s="6">
        <f t="shared" si="80"/>
        <v>7.7752448927553425E-3</v>
      </c>
      <c r="S103" s="2"/>
      <c r="T103" s="7">
        <v>4652</v>
      </c>
      <c r="U103" s="2"/>
      <c r="V103" s="6">
        <f t="shared" si="81"/>
        <v>4.8914950832640866E-3</v>
      </c>
      <c r="W103" s="2"/>
      <c r="X103" s="7">
        <f t="shared" si="82"/>
        <v>49998</v>
      </c>
      <c r="Y103" s="2"/>
      <c r="Z103" s="6">
        <f t="shared" si="83"/>
        <v>10.747635425623388</v>
      </c>
    </row>
    <row r="104" spans="1:26" s="52" customFormat="1" x14ac:dyDescent="0.3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3">
      <c r="A105" s="10"/>
      <c r="B105" s="26" t="s">
        <v>292</v>
      </c>
      <c r="C105" s="10"/>
      <c r="D105" s="4">
        <f>SUM(OSRRefD25x_0)</f>
        <v>6523.34</v>
      </c>
      <c r="E105" s="4"/>
      <c r="F105" s="12">
        <f t="shared" ref="F105:F108" si="84">IF(D$12=0,0,D105/D$12)</f>
        <v>1.0084630108770741E-2</v>
      </c>
      <c r="G105" s="4"/>
      <c r="H105" s="4">
        <f>SUM(OSRRefH25x_0)</f>
        <v>976.87</v>
      </c>
      <c r="I105" s="4"/>
      <c r="J105" s="12">
        <f t="shared" ref="J105:J108" si="85">IF(H$12=0,0,H105/H$12)</f>
        <v>8.118621784853489E-3</v>
      </c>
      <c r="K105" s="4"/>
      <c r="L105" s="4">
        <f t="shared" ref="L105:L108" si="86">+D105-H105</f>
        <v>5546.47</v>
      </c>
      <c r="M105" s="4"/>
      <c r="N105" s="12">
        <f t="shared" ref="N105:N108" si="87">IF(H105=0,0,L105/H105)</f>
        <v>5.6777974551373269</v>
      </c>
      <c r="O105" s="10"/>
      <c r="P105" s="4">
        <f>SUM(OSRRefP25x_0)</f>
        <v>141141.85</v>
      </c>
      <c r="Q105" s="4"/>
      <c r="R105" s="12">
        <f t="shared" ref="R105:R108" si="88">IF(P$12=0,0,P105/P$12)</f>
        <v>2.008074013479489E-2</v>
      </c>
      <c r="S105" s="4"/>
      <c r="T105" s="4">
        <f>SUM(OSRRefT25x_0)</f>
        <v>16348.34</v>
      </c>
      <c r="U105" s="4"/>
      <c r="V105" s="12">
        <f t="shared" ref="V105:V108" si="89">IF(T$12=0,0,T105/T$12)</f>
        <v>1.7189988118987445E-2</v>
      </c>
      <c r="W105" s="4"/>
      <c r="X105" s="4">
        <f t="shared" ref="X105:X108" si="90">+P105-T105</f>
        <v>124793.51000000001</v>
      </c>
      <c r="Y105" s="4"/>
      <c r="Z105" s="12">
        <f t="shared" ref="Z105:Z108" si="91">IF(T105=0,0,X105/T105)</f>
        <v>7.6334055934730989</v>
      </c>
    </row>
    <row r="106" spans="1:26" s="24" customFormat="1" hidden="1" outlineLevel="1" x14ac:dyDescent="0.3">
      <c r="A106" s="44"/>
      <c r="B106" s="11" t="str">
        <f>CONCATENATE("          ", "9150", " - ", "MISC. INCOME")</f>
        <v xml:space="preserve">          9150 - MISC. INCOME</v>
      </c>
      <c r="C106" s="11"/>
      <c r="D106" s="2">
        <f>--6523.34</f>
        <v>6523.34</v>
      </c>
      <c r="E106" s="2"/>
      <c r="F106" s="19">
        <f t="shared" si="84"/>
        <v>1.0084630108770741E-2</v>
      </c>
      <c r="G106" s="2"/>
      <c r="H106" s="2">
        <f>0</f>
        <v>0</v>
      </c>
      <c r="I106" s="2"/>
      <c r="J106" s="19">
        <f t="shared" si="85"/>
        <v>0</v>
      </c>
      <c r="K106" s="2"/>
      <c r="L106" s="2">
        <f t="shared" si="86"/>
        <v>6523.34</v>
      </c>
      <c r="M106" s="2"/>
      <c r="N106" s="19">
        <f t="shared" si="87"/>
        <v>0</v>
      </c>
      <c r="O106" s="11"/>
      <c r="P106" s="2">
        <f>--141141.85</f>
        <v>141141.85</v>
      </c>
      <c r="Q106" s="2"/>
      <c r="R106" s="19">
        <f t="shared" si="88"/>
        <v>2.008074013479489E-2</v>
      </c>
      <c r="S106" s="2"/>
      <c r="T106" s="2">
        <f>--1728.05</f>
        <v>1728.05</v>
      </c>
      <c r="U106" s="2"/>
      <c r="V106" s="19">
        <f t="shared" si="89"/>
        <v>1.8170137744270216E-3</v>
      </c>
      <c r="W106" s="2"/>
      <c r="X106" s="2">
        <f t="shared" si="90"/>
        <v>139413.80000000002</v>
      </c>
      <c r="Y106" s="2"/>
      <c r="Z106" s="19">
        <f t="shared" si="91"/>
        <v>80.676948004976722</v>
      </c>
    </row>
    <row r="107" spans="1:26" s="24" customFormat="1" hidden="1" outlineLevel="1" x14ac:dyDescent="0.3">
      <c r="A107" s="44"/>
      <c r="B107" s="11" t="str">
        <f>CONCATENATE("          ", "9160", " - ", "MISC. INCOME")</f>
        <v xml:space="preserve">          9160 - MISC. INCOME</v>
      </c>
      <c r="C107" s="11"/>
      <c r="D107" s="2">
        <f t="shared" ref="D107:D108" si="92">0</f>
        <v>0</v>
      </c>
      <c r="E107" s="2"/>
      <c r="F107" s="19">
        <f t="shared" si="84"/>
        <v>0</v>
      </c>
      <c r="G107" s="2"/>
      <c r="H107" s="2">
        <f>--189.92</f>
        <v>189.92</v>
      </c>
      <c r="I107" s="2"/>
      <c r="J107" s="19">
        <f t="shared" si="85"/>
        <v>1.5783969713261483E-3</v>
      </c>
      <c r="K107" s="2"/>
      <c r="L107" s="2">
        <f t="shared" si="86"/>
        <v>-189.92</v>
      </c>
      <c r="M107" s="2"/>
      <c r="N107" s="19">
        <f t="shared" si="87"/>
        <v>-1</v>
      </c>
      <c r="O107" s="11"/>
      <c r="P107" s="2">
        <f t="shared" ref="P107:P108" si="93">0</f>
        <v>0</v>
      </c>
      <c r="Q107" s="2"/>
      <c r="R107" s="19">
        <f t="shared" si="88"/>
        <v>0</v>
      </c>
      <c r="S107" s="2"/>
      <c r="T107" s="2">
        <f>--12518.17</f>
        <v>12518.17</v>
      </c>
      <c r="U107" s="2"/>
      <c r="V107" s="19">
        <f t="shared" si="89"/>
        <v>1.3162632632515905E-2</v>
      </c>
      <c r="W107" s="2"/>
      <c r="X107" s="2">
        <f t="shared" si="90"/>
        <v>-12518.17</v>
      </c>
      <c r="Y107" s="2"/>
      <c r="Z107" s="19">
        <f t="shared" si="91"/>
        <v>-1</v>
      </c>
    </row>
    <row r="108" spans="1:26" s="24" customFormat="1" hidden="1" outlineLevel="1" x14ac:dyDescent="0.3">
      <c r="A108" s="44"/>
      <c r="B108" s="11" t="str">
        <f>CONCATENATE("          ", "9165", " - ", "OTHER INCOME")</f>
        <v xml:space="preserve">          9165 - OTHER INCOME</v>
      </c>
      <c r="C108" s="11"/>
      <c r="D108" s="2">
        <f t="shared" si="92"/>
        <v>0</v>
      </c>
      <c r="E108" s="2"/>
      <c r="F108" s="19">
        <f t="shared" si="84"/>
        <v>0</v>
      </c>
      <c r="G108" s="2"/>
      <c r="H108" s="2">
        <f>--786.95</f>
        <v>786.95</v>
      </c>
      <c r="I108" s="2"/>
      <c r="J108" s="19">
        <f t="shared" si="85"/>
        <v>6.5402248135273408E-3</v>
      </c>
      <c r="K108" s="2"/>
      <c r="L108" s="2">
        <f t="shared" si="86"/>
        <v>-786.95</v>
      </c>
      <c r="M108" s="2"/>
      <c r="N108" s="19">
        <f t="shared" si="87"/>
        <v>-1</v>
      </c>
      <c r="O108" s="11"/>
      <c r="P108" s="2">
        <f t="shared" si="93"/>
        <v>0</v>
      </c>
      <c r="Q108" s="2"/>
      <c r="R108" s="19">
        <f t="shared" si="88"/>
        <v>0</v>
      </c>
      <c r="S108" s="2"/>
      <c r="T108" s="2">
        <f>--2102.12</f>
        <v>2102.12</v>
      </c>
      <c r="U108" s="2"/>
      <c r="V108" s="19">
        <f t="shared" si="89"/>
        <v>2.2103417120445186E-3</v>
      </c>
      <c r="W108" s="2"/>
      <c r="X108" s="2">
        <f t="shared" si="90"/>
        <v>-2102.12</v>
      </c>
      <c r="Y108" s="2"/>
      <c r="Z108" s="19">
        <f t="shared" si="91"/>
        <v>-1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10"/>
      <c r="B110" s="25" t="s">
        <v>276</v>
      </c>
      <c r="C110" s="25"/>
      <c r="D110" s="21">
        <f>+D24-D26+D105</f>
        <v>24382.889999999814</v>
      </c>
      <c r="E110" s="13"/>
      <c r="F110" s="22">
        <f>IF(D$12=0,0,D110/D$12)</f>
        <v>3.769425273446473E-2</v>
      </c>
      <c r="G110" s="13"/>
      <c r="H110" s="21">
        <f>+H24-H26+H105</f>
        <v>-205890.20000000013</v>
      </c>
      <c r="I110" s="13"/>
      <c r="J110" s="22">
        <f>IF(H$12=0,0,H110/H$12)</f>
        <v>-1.7111229365297767</v>
      </c>
      <c r="K110" s="15"/>
      <c r="L110" s="21">
        <f>+D110-H110</f>
        <v>230273.08999999994</v>
      </c>
      <c r="M110" s="15"/>
      <c r="N110" s="22">
        <f>IF(H110=0,0,L110/H110)</f>
        <v>-1.1184266662522053</v>
      </c>
      <c r="O110" s="26"/>
      <c r="P110" s="21">
        <f>+P24-P26+P105</f>
        <v>1029686.4900000006</v>
      </c>
      <c r="Q110" s="13"/>
      <c r="R110" s="22">
        <f>IF(P$12=0,0,P110/P$12)</f>
        <v>0.14649706537075352</v>
      </c>
      <c r="S110" s="13"/>
      <c r="T110" s="21">
        <f>+T24-T26+T105</f>
        <v>-1707833.1299999992</v>
      </c>
      <c r="U110" s="13"/>
      <c r="V110" s="22">
        <f>IF(T$12=0,0,T110/T$12)</f>
        <v>-1.7957560959652863</v>
      </c>
      <c r="W110" s="15"/>
      <c r="X110" s="21">
        <f>+P110-T110</f>
        <v>2737519.6199999996</v>
      </c>
      <c r="Y110" s="15"/>
      <c r="Z110" s="22">
        <f>IF(T110=0,0,X110/T110)</f>
        <v>-1.6029198473272392</v>
      </c>
    </row>
    <row r="111" spans="1:26" x14ac:dyDescent="0.3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51"/>
      <c r="B112" s="10" t="s">
        <v>127</v>
      </c>
      <c r="C112" s="10"/>
      <c r="D112" s="4">
        <v>162183.64000000001</v>
      </c>
      <c r="E112" s="4"/>
      <c r="F112" s="12">
        <f>IF(D$12=0,0,D112/D$12)</f>
        <v>0.25072463172148546</v>
      </c>
      <c r="G112" s="4"/>
      <c r="H112" s="4">
        <v>18939.02</v>
      </c>
      <c r="I112" s="4"/>
      <c r="J112" s="12">
        <f>IF(H$12=0,0,H112/H$12)</f>
        <v>0.15739938820495658</v>
      </c>
      <c r="K112" s="4"/>
      <c r="L112" s="4">
        <f>+D112-H112</f>
        <v>143244.62000000002</v>
      </c>
      <c r="M112" s="4"/>
      <c r="N112" s="12">
        <f>IF(H112=0,0,L112/H112)</f>
        <v>7.5634652690582733</v>
      </c>
      <c r="O112" s="10"/>
      <c r="P112" s="4">
        <v>930372.97</v>
      </c>
      <c r="Q112" s="4"/>
      <c r="R112" s="12">
        <f>IF(P$12=0,0,P112/P$12)</f>
        <v>0.13236738670357034</v>
      </c>
      <c r="S112" s="4"/>
      <c r="T112" s="4">
        <v>172638.66</v>
      </c>
      <c r="U112" s="4"/>
      <c r="V112" s="12">
        <f>IF(T$12=0,0,T112/T$12)</f>
        <v>0.18152647389752802</v>
      </c>
      <c r="W112" s="4"/>
      <c r="X112" s="4">
        <f>+P112-T112</f>
        <v>757734.30999999994</v>
      </c>
      <c r="Y112" s="4"/>
      <c r="Z112" s="12">
        <f>IF(T112=0,0,X112/T112)</f>
        <v>4.389134565803511</v>
      </c>
    </row>
    <row r="113" spans="1:26" x14ac:dyDescent="0.3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5" t="s">
        <v>125</v>
      </c>
      <c r="C114" s="25"/>
      <c r="D114" s="36">
        <f>+D110-D112</f>
        <v>-137800.7500000002</v>
      </c>
      <c r="E114" s="13"/>
      <c r="F114" s="31">
        <f>IF(D$12=0,0,D114/D$12)</f>
        <v>-0.21303037898702071</v>
      </c>
      <c r="G114" s="13"/>
      <c r="H114" s="36">
        <f>+H110-H112</f>
        <v>-224829.22000000012</v>
      </c>
      <c r="I114" s="13"/>
      <c r="J114" s="31">
        <f>IF(H$12=0,0,H114/H$12)</f>
        <v>-1.8685223247347331</v>
      </c>
      <c r="K114" s="15"/>
      <c r="L114" s="36">
        <f>D114-H114</f>
        <v>87028.469999999914</v>
      </c>
      <c r="M114" s="15"/>
      <c r="N114" s="31">
        <f>IF(H114=0,0,L114/H114)</f>
        <v>-0.38708700764073223</v>
      </c>
      <c r="O114" s="26"/>
      <c r="P114" s="36">
        <f>+P110-P112</f>
        <v>99313.520000000601</v>
      </c>
      <c r="Q114" s="13"/>
      <c r="R114" s="31">
        <f>IF(P$12=0,0,P114/P$12)</f>
        <v>1.412967866718317E-2</v>
      </c>
      <c r="S114" s="13"/>
      <c r="T114" s="36">
        <f>+T110-T112</f>
        <v>-1880471.7899999991</v>
      </c>
      <c r="U114" s="13"/>
      <c r="V114" s="31">
        <f>IF(T$12=0,0,T114/T$12)</f>
        <v>-1.9772825698628143</v>
      </c>
      <c r="W114" s="15"/>
      <c r="X114" s="36">
        <f>P114-T114</f>
        <v>1979785.3099999996</v>
      </c>
      <c r="Y114" s="15"/>
      <c r="Z114" s="31">
        <f>IF(T114=0,0,X114/T114)</f>
        <v>-1.0528130868690142</v>
      </c>
    </row>
    <row r="115" spans="1:26" ht="15" thickTop="1" x14ac:dyDescent="0.3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5" t="s">
        <v>293</v>
      </c>
      <c r="C117" s="25"/>
      <c r="D117" s="35">
        <f>SUM(D114:D116)</f>
        <v>-137800.7500000002</v>
      </c>
      <c r="E117" s="13"/>
      <c r="F117" s="32">
        <f>IF(D$12=0,0,D117/D$12)</f>
        <v>-0.21303037898702071</v>
      </c>
      <c r="G117" s="13"/>
      <c r="H117" s="35">
        <f>SUM(H114:H116)</f>
        <v>-224829.22000000012</v>
      </c>
      <c r="I117" s="13"/>
      <c r="J117" s="32">
        <f>IF(H$12=0,0,H117/H$12)</f>
        <v>-1.8685223247347331</v>
      </c>
      <c r="K117" s="15"/>
      <c r="L117" s="35">
        <f>+D117-H117</f>
        <v>87028.469999999914</v>
      </c>
      <c r="M117" s="15"/>
      <c r="N117" s="32">
        <f>IF(H117=0,0,L117/H117)</f>
        <v>-0.38708700764073223</v>
      </c>
      <c r="O117" s="26"/>
      <c r="P117" s="35">
        <f>SUM(P114:P116)</f>
        <v>99313.520000000601</v>
      </c>
      <c r="Q117" s="13"/>
      <c r="R117" s="32">
        <f>IF(P$12=0,0,P117/P$12)</f>
        <v>1.412967866718317E-2</v>
      </c>
      <c r="S117" s="13"/>
      <c r="T117" s="35">
        <f>SUM(T114:T116)</f>
        <v>-1880471.7899999991</v>
      </c>
      <c r="U117" s="13"/>
      <c r="V117" s="32">
        <f>IF(T$12=0,0,T117/T$12)</f>
        <v>-1.9772825698628143</v>
      </c>
      <c r="W117" s="15"/>
      <c r="X117" s="35">
        <f>+P117-T117</f>
        <v>1979785.3099999996</v>
      </c>
      <c r="Y117" s="15"/>
      <c r="Z117" s="32">
        <f>IF(T117=0,0,X117/T117)</f>
        <v>-1.0528130868690142</v>
      </c>
    </row>
    <row r="118" spans="1:26" ht="15" thickTop="1" x14ac:dyDescent="0.3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A119" s="9"/>
      <c r="B119" s="54">
        <v>44604.028431597224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A120" s="9"/>
      <c r="B120" s="53" t="s">
        <v>56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9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18311.25</v>
      </c>
      <c r="E12" s="4"/>
      <c r="F12" s="12"/>
      <c r="G12" s="4"/>
      <c r="H12" s="4">
        <f>SUM(OSRRefH13x_0)</f>
        <v>82073.460000000006</v>
      </c>
      <c r="I12" s="4"/>
      <c r="J12" s="12"/>
      <c r="K12" s="4"/>
      <c r="L12" s="4">
        <f t="shared" ref="L12:L25" si="0">+D12-H12</f>
        <v>-63762.210000000006</v>
      </c>
      <c r="M12" s="4"/>
      <c r="N12" s="12">
        <f t="shared" ref="N12:N25" si="1">IF(H12=0,0,L12/H12)</f>
        <v>-0.77689194533774986</v>
      </c>
      <c r="O12" s="10"/>
      <c r="P12" s="4">
        <f>SUM(OSRRefP13x_0)</f>
        <v>683627.02</v>
      </c>
      <c r="Q12" s="4"/>
      <c r="R12" s="12"/>
      <c r="S12" s="4"/>
      <c r="T12" s="4">
        <f>SUM(OSRRefT13x_0)</f>
        <v>278873.93000000005</v>
      </c>
      <c r="U12" s="4"/>
      <c r="V12" s="12"/>
      <c r="W12" s="4"/>
      <c r="X12" s="4">
        <f t="shared" ref="X12:X25" si="2">+P12-T12</f>
        <v>404753.08999999997</v>
      </c>
      <c r="Y12" s="4"/>
      <c r="Z12" s="12">
        <f t="shared" ref="Z12:Z25" si="3">IF(T12=0,0,X12/T12)</f>
        <v>1.4513837489219588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f t="shared" ref="H13:H16" si="4">0</f>
        <v>0</v>
      </c>
      <c r="I13" s="2"/>
      <c r="J13" s="19"/>
      <c r="K13" s="2"/>
      <c r="L13" s="2">
        <f t="shared" si="0"/>
        <v>803.91</v>
      </c>
      <c r="M13" s="2"/>
      <c r="N13" s="19">
        <f t="shared" si="1"/>
        <v>0</v>
      </c>
      <c r="O13" s="11"/>
      <c r="P13" s="2">
        <f>--13554.56</f>
        <v>13554.56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13554.56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--2376.57</f>
        <v>2376.5700000000002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2376.5700000000002</v>
      </c>
      <c r="M16" s="2"/>
      <c r="N16" s="19">
        <f t="shared" si="1"/>
        <v>0</v>
      </c>
      <c r="O16" s="11"/>
      <c r="P16" s="2">
        <f>--149359.36</f>
        <v>149359.35999999999</v>
      </c>
      <c r="Q16" s="2"/>
      <c r="R16" s="19"/>
      <c r="S16" s="2"/>
      <c r="T16" s="2">
        <f>--22964.48</f>
        <v>22964.48</v>
      </c>
      <c r="U16" s="2"/>
      <c r="V16" s="19"/>
      <c r="W16" s="2"/>
      <c r="X16" s="2">
        <f t="shared" si="2"/>
        <v>126394.87999999999</v>
      </c>
      <c r="Y16" s="2"/>
      <c r="Z16" s="19">
        <f t="shared" si="3"/>
        <v>5.5039295468480018</v>
      </c>
    </row>
    <row r="17" spans="1:26" s="24" customFormat="1" hidden="1" outlineLevel="1" x14ac:dyDescent="0.3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0</f>
        <v>0</v>
      </c>
      <c r="E17" s="2"/>
      <c r="F17" s="19"/>
      <c r="G17" s="2"/>
      <c r="H17" s="2">
        <f>--82073.46</f>
        <v>82073.460000000006</v>
      </c>
      <c r="I17" s="2"/>
      <c r="J17" s="19"/>
      <c r="K17" s="2"/>
      <c r="L17" s="2">
        <f t="shared" si="0"/>
        <v>-82073.460000000006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--230176.85</f>
        <v>230176.85</v>
      </c>
      <c r="U17" s="2"/>
      <c r="V17" s="19"/>
      <c r="W17" s="2"/>
      <c r="X17" s="2">
        <f t="shared" si="2"/>
        <v>-230176.85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--1412.89</f>
        <v>1412.89</v>
      </c>
      <c r="E18" s="2"/>
      <c r="F18" s="19"/>
      <c r="G18" s="2"/>
      <c r="H18" s="2">
        <f t="shared" ref="H18:H25" si="7">0</f>
        <v>0</v>
      </c>
      <c r="I18" s="2"/>
      <c r="J18" s="19"/>
      <c r="K18" s="2"/>
      <c r="L18" s="2">
        <f t="shared" si="0"/>
        <v>1412.89</v>
      </c>
      <c r="M18" s="2"/>
      <c r="N18" s="19">
        <f t="shared" si="1"/>
        <v>0</v>
      </c>
      <c r="O18" s="11"/>
      <c r="P18" s="2">
        <f>--9491.19</f>
        <v>9491.19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9491.19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>0</f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--974.91</f>
        <v>974.91</v>
      </c>
      <c r="U19" s="2"/>
      <c r="V19" s="19"/>
      <c r="W19" s="2"/>
      <c r="X19" s="2">
        <f t="shared" si="2"/>
        <v>-974.91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--4029.55</f>
        <v>4029.55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4029.55</v>
      </c>
      <c r="M20" s="2"/>
      <c r="N20" s="19">
        <f t="shared" si="1"/>
        <v>0</v>
      </c>
      <c r="O20" s="11"/>
      <c r="P20" s="2">
        <f>--66987.68</f>
        <v>66987.679999999993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66987.679999999993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"4132", " - ", "NON-TAXABLE SALES-JUICE")</f>
        <v xml:space="preserve">          4132 - NON-TAXABLE SALES-JUICE</v>
      </c>
      <c r="C21" s="11"/>
      <c r="D21" s="2">
        <f t="shared" ref="D21:D23" si="8">0</f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>--2031.88</f>
        <v>2031.88</v>
      </c>
      <c r="U21" s="2"/>
      <c r="V21" s="19"/>
      <c r="W21" s="2"/>
      <c r="X21" s="2">
        <f t="shared" si="2"/>
        <v>-2031.88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8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 t="shared" ref="T22:T23" si="10">0</f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8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si="10"/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>--9688.33</f>
        <v>9688.33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9688.33</v>
      </c>
      <c r="M24" s="2"/>
      <c r="N24" s="19">
        <f t="shared" si="1"/>
        <v>0</v>
      </c>
      <c r="O24" s="11"/>
      <c r="P24" s="2">
        <f>--444234.23</f>
        <v>444234.23</v>
      </c>
      <c r="Q24" s="2"/>
      <c r="R24" s="19"/>
      <c r="S24" s="2"/>
      <c r="T24" s="2">
        <f>--22171.22</f>
        <v>22171.22</v>
      </c>
      <c r="U24" s="2"/>
      <c r="V24" s="19"/>
      <c r="W24" s="2"/>
      <c r="X24" s="2">
        <f t="shared" si="2"/>
        <v>422063.01</v>
      </c>
      <c r="Y24" s="2"/>
      <c r="Z24" s="19">
        <f t="shared" si="3"/>
        <v>19.03652618123856</v>
      </c>
    </row>
    <row r="25" spans="1:26" s="24" customFormat="1" hidden="1" outlineLevel="1" x14ac:dyDescent="0.3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0</f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--110</f>
        <v>110</v>
      </c>
      <c r="U25" s="2"/>
      <c r="V25" s="19"/>
      <c r="W25" s="2"/>
      <c r="X25" s="2">
        <f t="shared" si="2"/>
        <v>-110</v>
      </c>
      <c r="Y25" s="2"/>
      <c r="Z25" s="19">
        <f t="shared" si="3"/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6" t="s">
        <v>256</v>
      </c>
      <c r="C27" s="10"/>
      <c r="D27" s="4">
        <f>SUM(OSRRefD16x_0)</f>
        <v>14636.4</v>
      </c>
      <c r="E27" s="4"/>
      <c r="F27" s="12">
        <f t="shared" ref="F27:F29" si="11">IF(D$12=0,0,D27/D$12)</f>
        <v>0.79931189842310058</v>
      </c>
      <c r="G27" s="4"/>
      <c r="H27" s="4">
        <f>SUM(OSRRefH16x_0)</f>
        <v>1062.1199999999999</v>
      </c>
      <c r="I27" s="4"/>
      <c r="J27" s="12">
        <f t="shared" ref="J27:J29" si="12">IF(H$12=0,0,H27/H$12)</f>
        <v>1.2941089604361749E-2</v>
      </c>
      <c r="K27" s="4"/>
      <c r="L27" s="4">
        <f t="shared" ref="L27:L29" si="13">+D27-H27</f>
        <v>13574.279999999999</v>
      </c>
      <c r="M27" s="4"/>
      <c r="N27" s="12">
        <f t="shared" ref="N27:N29" si="14">IF(H27=0,0,L27/H27)</f>
        <v>12.780363800700487</v>
      </c>
      <c r="O27" s="10"/>
      <c r="P27" s="4">
        <f>SUM(OSRRefP16x_0)</f>
        <v>294732.79999999999</v>
      </c>
      <c r="Q27" s="4"/>
      <c r="R27" s="12">
        <f t="shared" ref="R27:R29" si="15">IF(P$12=0,0,P27/P$12)</f>
        <v>0.43113099888883849</v>
      </c>
      <c r="S27" s="4"/>
      <c r="T27" s="4">
        <f>SUM(OSRRefT16x_0)</f>
        <v>29048.31</v>
      </c>
      <c r="U27" s="4"/>
      <c r="V27" s="12">
        <f t="shared" ref="V27:V29" si="16">IF(T$12=0,0,T27/T$12)</f>
        <v>0.10416287388355017</v>
      </c>
      <c r="W27" s="4"/>
      <c r="X27" s="4">
        <f t="shared" ref="X27:X29" si="17">+P27-T27</f>
        <v>265684.49</v>
      </c>
      <c r="Y27" s="4"/>
      <c r="Z27" s="12">
        <f t="shared" ref="Z27:Z29" si="18">IF(T27=0,0,X27/T27)</f>
        <v>9.1462976675751531</v>
      </c>
    </row>
    <row r="28" spans="1:26" s="24" customFormat="1" hidden="1" outlineLevel="1" x14ac:dyDescent="0.3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12455.56</v>
      </c>
      <c r="E28" s="2"/>
      <c r="F28" s="19">
        <f t="shared" si="11"/>
        <v>0.68021352993378381</v>
      </c>
      <c r="G28" s="2"/>
      <c r="H28" s="2">
        <v>1277.0999999999999</v>
      </c>
      <c r="I28" s="2"/>
      <c r="J28" s="19">
        <f t="shared" si="12"/>
        <v>1.5560450357521174E-2</v>
      </c>
      <c r="K28" s="2"/>
      <c r="L28" s="2">
        <f t="shared" si="13"/>
        <v>11178.46</v>
      </c>
      <c r="M28" s="2"/>
      <c r="N28" s="19">
        <f t="shared" si="14"/>
        <v>8.753002897188944</v>
      </c>
      <c r="O28" s="11"/>
      <c r="P28" s="2">
        <v>271172.11</v>
      </c>
      <c r="Q28" s="2"/>
      <c r="R28" s="19">
        <f t="shared" si="15"/>
        <v>0.39666675258096146</v>
      </c>
      <c r="S28" s="2"/>
      <c r="T28" s="2">
        <v>12021.32</v>
      </c>
      <c r="U28" s="2"/>
      <c r="V28" s="19">
        <f t="shared" si="16"/>
        <v>4.310664679197513E-2</v>
      </c>
      <c r="W28" s="2"/>
      <c r="X28" s="2">
        <f t="shared" si="17"/>
        <v>259150.78999999998</v>
      </c>
      <c r="Y28" s="2"/>
      <c r="Z28" s="19">
        <f t="shared" si="18"/>
        <v>21.557598499998335</v>
      </c>
    </row>
    <row r="29" spans="1:26" s="24" customFormat="1" hidden="1" outlineLevel="1" x14ac:dyDescent="0.3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2180.84</v>
      </c>
      <c r="E29" s="2"/>
      <c r="F29" s="19">
        <f t="shared" si="11"/>
        <v>0.11909836848931668</v>
      </c>
      <c r="G29" s="2"/>
      <c r="H29" s="2">
        <v>-214.98</v>
      </c>
      <c r="I29" s="2"/>
      <c r="J29" s="19">
        <f t="shared" si="12"/>
        <v>-2.6193607531594253E-3</v>
      </c>
      <c r="K29" s="2"/>
      <c r="L29" s="2">
        <f t="shared" si="13"/>
        <v>2395.8200000000002</v>
      </c>
      <c r="M29" s="2"/>
      <c r="N29" s="19">
        <f t="shared" si="14"/>
        <v>-11.144385524234814</v>
      </c>
      <c r="O29" s="11"/>
      <c r="P29" s="2">
        <v>23560.69</v>
      </c>
      <c r="Q29" s="2"/>
      <c r="R29" s="19">
        <f t="shared" si="15"/>
        <v>3.4464246307877061E-2</v>
      </c>
      <c r="S29" s="2"/>
      <c r="T29" s="2">
        <v>17026.990000000002</v>
      </c>
      <c r="U29" s="2"/>
      <c r="V29" s="19">
        <f t="shared" si="16"/>
        <v>6.105622709157503E-2</v>
      </c>
      <c r="W29" s="2"/>
      <c r="X29" s="2">
        <f t="shared" si="17"/>
        <v>6533.6999999999971</v>
      </c>
      <c r="Y29" s="2"/>
      <c r="Z29" s="19">
        <f t="shared" si="18"/>
        <v>0.38372607254717345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5" t="s">
        <v>107</v>
      </c>
      <c r="C31" s="25"/>
      <c r="D31" s="21">
        <f>D12-D27</f>
        <v>3674.8500000000004</v>
      </c>
      <c r="E31" s="13"/>
      <c r="F31" s="22">
        <f>IF(D$12=0,0,D31/D$12)</f>
        <v>0.20068810157689948</v>
      </c>
      <c r="G31" s="13"/>
      <c r="H31" s="21">
        <f>H12-H27</f>
        <v>81011.340000000011</v>
      </c>
      <c r="I31" s="13"/>
      <c r="J31" s="22">
        <f>IF(H$12=0,0,H31/H$12)</f>
        <v>0.98705891039563831</v>
      </c>
      <c r="K31" s="15"/>
      <c r="L31" s="21">
        <f>+D31-H31</f>
        <v>-77336.490000000005</v>
      </c>
      <c r="M31" s="15"/>
      <c r="N31" s="22">
        <f>IF(H31=0,0,L31/H31)</f>
        <v>-0.95463783218497555</v>
      </c>
      <c r="O31" s="26"/>
      <c r="P31" s="21">
        <f>P12-P27</f>
        <v>388894.22000000003</v>
      </c>
      <c r="Q31" s="13"/>
      <c r="R31" s="22">
        <f>IF(P$12=0,0,P31/P$12)</f>
        <v>0.56886900111116145</v>
      </c>
      <c r="S31" s="13"/>
      <c r="T31" s="21">
        <f>T12-T27</f>
        <v>249825.62000000005</v>
      </c>
      <c r="U31" s="13"/>
      <c r="V31" s="22">
        <f>IF(T$12=0,0,T31/T$12)</f>
        <v>0.89583712611644983</v>
      </c>
      <c r="W31" s="15"/>
      <c r="X31" s="21">
        <f>+P31-T31</f>
        <v>139068.59999999998</v>
      </c>
      <c r="Y31" s="15"/>
      <c r="Z31" s="22">
        <f>IF(T31=0,0,X31/T31)</f>
        <v>0.55666268335489344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6" t="s">
        <v>294</v>
      </c>
      <c r="C33" s="10"/>
      <c r="D33" s="20">
        <f>SUM(OSRRefD22x_0)</f>
        <v>198571.53000000003</v>
      </c>
      <c r="E33" s="20"/>
      <c r="F33" s="30">
        <f t="shared" ref="F33:F43" si="19">IF(D$12=0,0,D33/D$12)</f>
        <v>10.844236739709197</v>
      </c>
      <c r="G33" s="20"/>
      <c r="H33" s="20">
        <f>SUM(OSRRefH22x_0)</f>
        <v>127859.67000000001</v>
      </c>
      <c r="I33" s="20"/>
      <c r="J33" s="30">
        <f t="shared" ref="J33:J43" si="20">IF(H$12=0,0,H33/H$12)</f>
        <v>1.5578686459666742</v>
      </c>
      <c r="K33" s="4"/>
      <c r="L33" s="20">
        <f t="shared" ref="L33:L43" si="21">+D33-H33</f>
        <v>70711.860000000015</v>
      </c>
      <c r="M33" s="4"/>
      <c r="N33" s="30">
        <f t="shared" ref="N33:N43" si="22">IF(H33=0,0,L33/H33)</f>
        <v>0.55304272254104836</v>
      </c>
      <c r="O33" s="10"/>
      <c r="P33" s="20">
        <f>SUM(OSRRefP22x_0)</f>
        <v>1390548.0999999999</v>
      </c>
      <c r="Q33" s="20"/>
      <c r="R33" s="30">
        <f t="shared" ref="R33:R43" si="23">IF(P$12=0,0,P33/P$12)</f>
        <v>2.0340742236899878</v>
      </c>
      <c r="S33" s="20"/>
      <c r="T33" s="20">
        <f>SUM(OSRRefT22x_0)</f>
        <v>974713.04000000015</v>
      </c>
      <c r="U33" s="20"/>
      <c r="V33" s="30">
        <f t="shared" ref="V33:V43" si="24">IF(T$12=0,0,T33/T$12)</f>
        <v>3.4951744682624151</v>
      </c>
      <c r="W33" s="4"/>
      <c r="X33" s="20">
        <f t="shared" ref="X33:X43" si="25">+P33-T33</f>
        <v>415835.05999999971</v>
      </c>
      <c r="Y33" s="4"/>
      <c r="Z33" s="30">
        <f t="shared" ref="Z33:Z43" si="26">IF(T33=0,0,X33/T33)</f>
        <v>0.42662306025986851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44126.73000000001</v>
      </c>
      <c r="E34" s="1"/>
      <c r="F34" s="5">
        <f t="shared" si="19"/>
        <v>2.4098152774933448</v>
      </c>
      <c r="G34" s="1"/>
      <c r="H34" s="1">
        <f>SUM(OSRRefH22_0x_0)</f>
        <v>18824.990000000002</v>
      </c>
      <c r="I34" s="1"/>
      <c r="J34" s="5">
        <f t="shared" si="20"/>
        <v>0.22936756900464536</v>
      </c>
      <c r="K34" s="1"/>
      <c r="L34" s="1">
        <f t="shared" si="21"/>
        <v>25301.740000000009</v>
      </c>
      <c r="M34" s="1"/>
      <c r="N34" s="5">
        <f t="shared" si="22"/>
        <v>1.3440506475700655</v>
      </c>
      <c r="O34" s="14"/>
      <c r="P34" s="1">
        <f>SUM(OSRRefP22_0x_0)</f>
        <v>224577.22</v>
      </c>
      <c r="Q34" s="1"/>
      <c r="R34" s="5">
        <f t="shared" si="23"/>
        <v>0.32850840214010263</v>
      </c>
      <c r="S34" s="1"/>
      <c r="T34" s="1">
        <f>SUM(OSRRefT22_0x_0)</f>
        <v>185019.32</v>
      </c>
      <c r="U34" s="1"/>
      <c r="V34" s="5">
        <f t="shared" si="24"/>
        <v>0.66345147429162699</v>
      </c>
      <c r="W34" s="1"/>
      <c r="X34" s="1">
        <f t="shared" si="25"/>
        <v>39557.899999999994</v>
      </c>
      <c r="Y34" s="1"/>
      <c r="Z34" s="5">
        <f t="shared" si="26"/>
        <v>0.21380415839816075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4568.6099999999997</v>
      </c>
      <c r="E35" s="2"/>
      <c r="F35" s="6">
        <f t="shared" si="19"/>
        <v>0.24949744009830022</v>
      </c>
      <c r="G35" s="2"/>
      <c r="H35" s="7">
        <v>2030.81</v>
      </c>
      <c r="I35" s="2"/>
      <c r="J35" s="6">
        <f t="shared" si="20"/>
        <v>2.4743808778136072E-2</v>
      </c>
      <c r="K35" s="2"/>
      <c r="L35" s="7">
        <f t="shared" si="21"/>
        <v>2537.7999999999997</v>
      </c>
      <c r="M35" s="2"/>
      <c r="N35" s="6">
        <f t="shared" si="22"/>
        <v>1.2496491547707564</v>
      </c>
      <c r="O35" s="11"/>
      <c r="P35" s="7">
        <v>32307.49</v>
      </c>
      <c r="Q35" s="2"/>
      <c r="R35" s="6">
        <f t="shared" si="23"/>
        <v>4.725894245666299E-2</v>
      </c>
      <c r="S35" s="2"/>
      <c r="T35" s="7">
        <v>21585.27</v>
      </c>
      <c r="U35" s="2"/>
      <c r="V35" s="6">
        <f t="shared" si="24"/>
        <v>7.7401534091049662E-2</v>
      </c>
      <c r="W35" s="2"/>
      <c r="X35" s="7">
        <f t="shared" si="25"/>
        <v>10722.220000000001</v>
      </c>
      <c r="Y35" s="2"/>
      <c r="Z35" s="6">
        <f t="shared" si="26"/>
        <v>0.49673782167190872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1675.99</v>
      </c>
      <c r="E36" s="2"/>
      <c r="F36" s="6">
        <f t="shared" si="19"/>
        <v>9.1527885862516214E-2</v>
      </c>
      <c r="G36" s="2"/>
      <c r="H36" s="7">
        <v>205.8</v>
      </c>
      <c r="I36" s="2"/>
      <c r="J36" s="6">
        <f t="shared" si="20"/>
        <v>2.5075097357903516E-3</v>
      </c>
      <c r="K36" s="2"/>
      <c r="L36" s="7">
        <f t="shared" si="21"/>
        <v>1470.19</v>
      </c>
      <c r="M36" s="2"/>
      <c r="N36" s="6">
        <f t="shared" si="22"/>
        <v>7.1437803692905728</v>
      </c>
      <c r="O36" s="11"/>
      <c r="P36" s="7">
        <v>14287.4</v>
      </c>
      <c r="Q36" s="2"/>
      <c r="R36" s="6">
        <f t="shared" si="23"/>
        <v>2.0899407984195824E-2</v>
      </c>
      <c r="S36" s="2"/>
      <c r="T36" s="7">
        <v>5993.17</v>
      </c>
      <c r="U36" s="2"/>
      <c r="V36" s="6">
        <f t="shared" si="24"/>
        <v>2.1490606884623453E-2</v>
      </c>
      <c r="W36" s="2"/>
      <c r="X36" s="7">
        <f t="shared" si="25"/>
        <v>8294.23</v>
      </c>
      <c r="Y36" s="2"/>
      <c r="Z36" s="6">
        <f t="shared" si="26"/>
        <v>1.383947059736333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14917.13</v>
      </c>
      <c r="E37" s="2"/>
      <c r="F37" s="6">
        <f t="shared" si="19"/>
        <v>0.81464291077889273</v>
      </c>
      <c r="G37" s="2"/>
      <c r="H37" s="7">
        <v>8554.93</v>
      </c>
      <c r="I37" s="2"/>
      <c r="J37" s="6">
        <f t="shared" si="20"/>
        <v>0.10423503529642834</v>
      </c>
      <c r="K37" s="2"/>
      <c r="L37" s="7">
        <f t="shared" si="21"/>
        <v>6362.1999999999989</v>
      </c>
      <c r="M37" s="2"/>
      <c r="N37" s="6">
        <f t="shared" si="22"/>
        <v>0.74368814239274883</v>
      </c>
      <c r="O37" s="11"/>
      <c r="P37" s="7">
        <v>89882.5</v>
      </c>
      <c r="Q37" s="2"/>
      <c r="R37" s="6">
        <f t="shared" si="23"/>
        <v>0.13147885816450028</v>
      </c>
      <c r="S37" s="2"/>
      <c r="T37" s="7">
        <v>87554.5</v>
      </c>
      <c r="U37" s="2"/>
      <c r="V37" s="6">
        <f t="shared" si="24"/>
        <v>0.31395727811488144</v>
      </c>
      <c r="W37" s="2"/>
      <c r="X37" s="7">
        <f t="shared" si="25"/>
        <v>2328</v>
      </c>
      <c r="Y37" s="2"/>
      <c r="Z37" s="6">
        <f t="shared" si="26"/>
        <v>2.6589153041819667E-2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159.4</v>
      </c>
      <c r="E38" s="2"/>
      <c r="F38" s="6">
        <f t="shared" si="19"/>
        <v>8.7050310601406236E-3</v>
      </c>
      <c r="G38" s="2"/>
      <c r="H38" s="7">
        <v>164.95</v>
      </c>
      <c r="I38" s="2"/>
      <c r="J38" s="6">
        <f t="shared" si="20"/>
        <v>2.0097848927046573E-3</v>
      </c>
      <c r="K38" s="2"/>
      <c r="L38" s="7">
        <f t="shared" si="21"/>
        <v>-5.5499999999999829</v>
      </c>
      <c r="M38" s="2"/>
      <c r="N38" s="6">
        <f t="shared" si="22"/>
        <v>-3.3646559563503993E-2</v>
      </c>
      <c r="O38" s="11"/>
      <c r="P38" s="7">
        <v>1301.6500000000001</v>
      </c>
      <c r="Q38" s="2"/>
      <c r="R38" s="6">
        <f t="shared" si="23"/>
        <v>1.9040353320148172E-3</v>
      </c>
      <c r="S38" s="2"/>
      <c r="T38" s="7">
        <v>805.37</v>
      </c>
      <c r="U38" s="2"/>
      <c r="V38" s="6">
        <f t="shared" si="24"/>
        <v>2.8879357780054946E-3</v>
      </c>
      <c r="W38" s="2"/>
      <c r="X38" s="7">
        <f t="shared" si="25"/>
        <v>496.28000000000009</v>
      </c>
      <c r="Y38" s="2"/>
      <c r="Z38" s="6">
        <f t="shared" si="26"/>
        <v>0.61621366576852887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3723.88</v>
      </c>
      <c r="E39" s="2"/>
      <c r="F39" s="6">
        <f t="shared" si="19"/>
        <v>0.20336569049081848</v>
      </c>
      <c r="G39" s="2"/>
      <c r="H39" s="7">
        <v>3958.83</v>
      </c>
      <c r="I39" s="2"/>
      <c r="J39" s="6">
        <f t="shared" si="20"/>
        <v>4.8235202951112326E-2</v>
      </c>
      <c r="K39" s="2"/>
      <c r="L39" s="7">
        <f t="shared" si="21"/>
        <v>-234.94999999999982</v>
      </c>
      <c r="M39" s="2"/>
      <c r="N39" s="6">
        <f t="shared" si="22"/>
        <v>-5.9348342818458945E-2</v>
      </c>
      <c r="O39" s="11"/>
      <c r="P39" s="7">
        <v>24754.62</v>
      </c>
      <c r="Q39" s="2"/>
      <c r="R39" s="6">
        <f t="shared" si="23"/>
        <v>3.6210710337341551E-2</v>
      </c>
      <c r="S39" s="2"/>
      <c r="T39" s="7">
        <v>29748.6</v>
      </c>
      <c r="U39" s="2"/>
      <c r="V39" s="6">
        <f t="shared" si="24"/>
        <v>0.10667400857441207</v>
      </c>
      <c r="W39" s="2"/>
      <c r="X39" s="7">
        <f t="shared" si="25"/>
        <v>-4993.9799999999996</v>
      </c>
      <c r="Y39" s="2"/>
      <c r="Z39" s="6">
        <f t="shared" si="26"/>
        <v>-0.16787277384481958</v>
      </c>
    </row>
    <row r="40" spans="1:26" s="24" customFormat="1" hidden="1" outlineLevel="2" x14ac:dyDescent="0.3">
      <c r="A40" s="27"/>
      <c r="B40" s="11" t="str">
        <f>CONCATENATE("          ", "6117", " - ", "RETIREMENT STAFF HOURLY")</f>
        <v xml:space="preserve">          6117 - RETIREMENT STAFF HOURLY</v>
      </c>
      <c r="C40" s="11"/>
      <c r="D40" s="7">
        <v>211.66</v>
      </c>
      <c r="E40" s="2"/>
      <c r="F40" s="6">
        <f t="shared" si="19"/>
        <v>1.1559014267185473E-2</v>
      </c>
      <c r="G40" s="2"/>
      <c r="H40" s="7"/>
      <c r="I40" s="2"/>
      <c r="J40" s="6">
        <f t="shared" si="20"/>
        <v>0</v>
      </c>
      <c r="K40" s="2"/>
      <c r="L40" s="7">
        <f t="shared" si="21"/>
        <v>211.66</v>
      </c>
      <c r="M40" s="2"/>
      <c r="N40" s="6">
        <f t="shared" si="22"/>
        <v>0</v>
      </c>
      <c r="O40" s="11"/>
      <c r="P40" s="7">
        <v>211.66</v>
      </c>
      <c r="Q40" s="2"/>
      <c r="R40" s="6">
        <f t="shared" si="23"/>
        <v>3.0961327420908554E-4</v>
      </c>
      <c r="S40" s="2"/>
      <c r="T40" s="7"/>
      <c r="U40" s="2"/>
      <c r="V40" s="6">
        <f t="shared" si="24"/>
        <v>0</v>
      </c>
      <c r="W40" s="2"/>
      <c r="X40" s="7">
        <f t="shared" si="25"/>
        <v>211.66</v>
      </c>
      <c r="Y40" s="2"/>
      <c r="Z40" s="6">
        <f t="shared" si="26"/>
        <v>0</v>
      </c>
    </row>
    <row r="41" spans="1:26" s="24" customFormat="1" hidden="1" outlineLevel="2" x14ac:dyDescent="0.3">
      <c r="A41" s="27"/>
      <c r="B41" s="11" t="str">
        <f>CONCATENATE("          ", "6118", " - ", "VACATION")</f>
        <v xml:space="preserve">          6118 - VACATION</v>
      </c>
      <c r="C41" s="11"/>
      <c r="D41" s="7">
        <v>6131.31</v>
      </c>
      <c r="E41" s="2"/>
      <c r="F41" s="6">
        <f t="shared" si="19"/>
        <v>0.33483841900471023</v>
      </c>
      <c r="G41" s="2"/>
      <c r="H41" s="7">
        <v>2423.7800000000002</v>
      </c>
      <c r="I41" s="2"/>
      <c r="J41" s="6">
        <f t="shared" si="20"/>
        <v>2.9531836479173658E-2</v>
      </c>
      <c r="K41" s="2"/>
      <c r="L41" s="7">
        <f t="shared" si="21"/>
        <v>3707.53</v>
      </c>
      <c r="M41" s="2"/>
      <c r="N41" s="6">
        <f t="shared" si="22"/>
        <v>1.5296479053379433</v>
      </c>
      <c r="O41" s="11"/>
      <c r="P41" s="7">
        <v>26491.14</v>
      </c>
      <c r="Q41" s="2"/>
      <c r="R41" s="6">
        <f t="shared" si="23"/>
        <v>3.8750867395498788E-2</v>
      </c>
      <c r="S41" s="2"/>
      <c r="T41" s="7">
        <v>21895.08</v>
      </c>
      <c r="U41" s="2"/>
      <c r="V41" s="6">
        <f t="shared" si="24"/>
        <v>7.8512466188574881E-2</v>
      </c>
      <c r="W41" s="2"/>
      <c r="X41" s="7">
        <f t="shared" si="25"/>
        <v>4596.0599999999977</v>
      </c>
      <c r="Y41" s="2"/>
      <c r="Z41" s="6">
        <f t="shared" si="26"/>
        <v>0.20991291194186079</v>
      </c>
    </row>
    <row r="42" spans="1:26" s="24" customFormat="1" hidden="1" outlineLevel="2" x14ac:dyDescent="0.3">
      <c r="A42" s="27"/>
      <c r="B42" s="11" t="str">
        <f>CONCATENATE("          ", "6119", " - ", "SICK LEAVE")</f>
        <v xml:space="preserve">          6119 - SICK LEAVE</v>
      </c>
      <c r="C42" s="11"/>
      <c r="D42" s="7">
        <v>10834.45</v>
      </c>
      <c r="E42" s="2"/>
      <c r="F42" s="6">
        <f t="shared" si="19"/>
        <v>0.59168270871731865</v>
      </c>
      <c r="G42" s="2"/>
      <c r="H42" s="7">
        <v>1382.86</v>
      </c>
      <c r="I42" s="2"/>
      <c r="J42" s="6">
        <f t="shared" si="20"/>
        <v>1.6849052056535693E-2</v>
      </c>
      <c r="K42" s="2"/>
      <c r="L42" s="7">
        <f t="shared" si="21"/>
        <v>9451.59</v>
      </c>
      <c r="M42" s="2"/>
      <c r="N42" s="6">
        <f t="shared" si="22"/>
        <v>6.8348133578236414</v>
      </c>
      <c r="O42" s="11"/>
      <c r="P42" s="7">
        <v>24280.959999999999</v>
      </c>
      <c r="Q42" s="2"/>
      <c r="R42" s="6">
        <f t="shared" si="23"/>
        <v>3.5517847144192746E-2</v>
      </c>
      <c r="S42" s="2"/>
      <c r="T42" s="7">
        <v>13189.6</v>
      </c>
      <c r="U42" s="2"/>
      <c r="V42" s="6">
        <f t="shared" si="24"/>
        <v>4.7295923286913184E-2</v>
      </c>
      <c r="W42" s="2"/>
      <c r="X42" s="7">
        <f t="shared" si="25"/>
        <v>11091.359999999999</v>
      </c>
      <c r="Y42" s="2"/>
      <c r="Z42" s="6">
        <f t="shared" si="26"/>
        <v>0.84091708618911853</v>
      </c>
    </row>
    <row r="43" spans="1:26" s="24" customFormat="1" hidden="1" outlineLevel="2" x14ac:dyDescent="0.3">
      <c r="A43" s="27"/>
      <c r="B43" s="11" t="str">
        <f>CONCATENATE("          ", "6156", " - ", "EMPLOYEE MEALS")</f>
        <v xml:space="preserve">          6156 - EMPLOYEE MEALS</v>
      </c>
      <c r="C43" s="11"/>
      <c r="D43" s="7">
        <v>1904.3</v>
      </c>
      <c r="E43" s="2"/>
      <c r="F43" s="6">
        <f t="shared" si="19"/>
        <v>0.10399617721346167</v>
      </c>
      <c r="G43" s="2"/>
      <c r="H43" s="7">
        <v>103.03</v>
      </c>
      <c r="I43" s="2"/>
      <c r="J43" s="6">
        <f t="shared" si="20"/>
        <v>1.2553388147642367E-3</v>
      </c>
      <c r="K43" s="2"/>
      <c r="L43" s="7">
        <f t="shared" si="21"/>
        <v>1801.27</v>
      </c>
      <c r="M43" s="2"/>
      <c r="N43" s="6">
        <f t="shared" si="22"/>
        <v>17.482966126370961</v>
      </c>
      <c r="O43" s="11"/>
      <c r="P43" s="7">
        <v>11059.8</v>
      </c>
      <c r="Q43" s="2"/>
      <c r="R43" s="6">
        <f t="shared" si="23"/>
        <v>1.6178120051486552E-2</v>
      </c>
      <c r="S43" s="2"/>
      <c r="T43" s="7">
        <v>4247.7299999999996</v>
      </c>
      <c r="U43" s="2"/>
      <c r="V43" s="6">
        <f t="shared" si="24"/>
        <v>1.5231721373166716E-2</v>
      </c>
      <c r="W43" s="2"/>
      <c r="X43" s="7">
        <f t="shared" si="25"/>
        <v>6812.07</v>
      </c>
      <c r="Y43" s="2"/>
      <c r="Z43" s="6">
        <f t="shared" si="26"/>
        <v>1.6036965626346309</v>
      </c>
    </row>
    <row r="44" spans="1:26" s="29" customFormat="1" outlineLevel="1" collapsed="1" x14ac:dyDescent="0.3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71614.89</v>
      </c>
      <c r="E44" s="1"/>
      <c r="F44" s="5">
        <f t="shared" ref="F44:F49" si="27">IF(D$12=0,0,D44/D$12)</f>
        <v>3.9109776776571779</v>
      </c>
      <c r="G44" s="1"/>
      <c r="H44" s="1">
        <f>SUM(OSRRefH22_1x_0)</f>
        <v>29206.010000000002</v>
      </c>
      <c r="I44" s="1"/>
      <c r="J44" s="5">
        <f t="shared" ref="J44:J49" si="28">IF(H$12=0,0,H44/H$12)</f>
        <v>0.35585206228663929</v>
      </c>
      <c r="K44" s="1"/>
      <c r="L44" s="1">
        <f t="shared" ref="L44:L49" si="29">+D44-H44</f>
        <v>42408.88</v>
      </c>
      <c r="M44" s="1"/>
      <c r="N44" s="5">
        <f t="shared" ref="N44:N49" si="30">IF(H44=0,0,L44/H44)</f>
        <v>1.4520600383277276</v>
      </c>
      <c r="O44" s="14"/>
      <c r="P44" s="1">
        <f>SUM(OSRRefP22_1x_0)</f>
        <v>488066.18</v>
      </c>
      <c r="Q44" s="1"/>
      <c r="R44" s="5">
        <f t="shared" ref="R44:R49" si="31">IF(P$12=0,0,P44/P$12)</f>
        <v>0.71393635084815688</v>
      </c>
      <c r="S44" s="1"/>
      <c r="T44" s="1">
        <f>SUM(OSRRefT22_1x_0)</f>
        <v>250098.05000000005</v>
      </c>
      <c r="U44" s="1"/>
      <c r="V44" s="5">
        <f t="shared" ref="V44:V49" si="32">IF(T$12=0,0,T44/T$12)</f>
        <v>0.89681401915195158</v>
      </c>
      <c r="W44" s="1"/>
      <c r="X44" s="1">
        <f t="shared" ref="X44:X49" si="33">+P44-T44</f>
        <v>237968.12999999995</v>
      </c>
      <c r="Y44" s="1"/>
      <c r="Z44" s="5">
        <f t="shared" ref="Z44:Z49" si="34">IF(T44=0,0,X44/T44)</f>
        <v>0.95149934195808361</v>
      </c>
    </row>
    <row r="45" spans="1:26" s="24" customFormat="1" hidden="1" outlineLevel="2" x14ac:dyDescent="0.3">
      <c r="A45" s="27"/>
      <c r="B45" s="11" t="str">
        <f>CONCATENATE("          ", "6001", " - ", "ADMINISTRATIVE SALARIES")</f>
        <v xml:space="preserve">          6001 - ADMINISTRATIVE SALARIES</v>
      </c>
      <c r="C45" s="11"/>
      <c r="D45" s="7">
        <v>14390.06</v>
      </c>
      <c r="E45" s="2"/>
      <c r="F45" s="6">
        <f t="shared" si="27"/>
        <v>0.78585896648235376</v>
      </c>
      <c r="G45" s="2"/>
      <c r="H45" s="7">
        <v>13911.28</v>
      </c>
      <c r="I45" s="2"/>
      <c r="J45" s="6">
        <f t="shared" si="28"/>
        <v>0.16949791077407969</v>
      </c>
      <c r="K45" s="2"/>
      <c r="L45" s="7">
        <f t="shared" si="29"/>
        <v>478.77999999999884</v>
      </c>
      <c r="M45" s="2"/>
      <c r="N45" s="6">
        <f t="shared" si="30"/>
        <v>3.4416674813532527E-2</v>
      </c>
      <c r="O45" s="11"/>
      <c r="P45" s="7">
        <v>78259.83</v>
      </c>
      <c r="Q45" s="2"/>
      <c r="R45" s="6">
        <f t="shared" si="31"/>
        <v>0.11447737978525191</v>
      </c>
      <c r="S45" s="2"/>
      <c r="T45" s="7">
        <v>76591.08</v>
      </c>
      <c r="U45" s="2"/>
      <c r="V45" s="6">
        <f t="shared" si="32"/>
        <v>0.27464410172725712</v>
      </c>
      <c r="W45" s="2"/>
      <c r="X45" s="7">
        <f t="shared" si="33"/>
        <v>1668.75</v>
      </c>
      <c r="Y45" s="2"/>
      <c r="Z45" s="6">
        <f t="shared" si="34"/>
        <v>2.1787785209452588E-2</v>
      </c>
    </row>
    <row r="46" spans="1:26" s="24" customFormat="1" hidden="1" outlineLevel="2" x14ac:dyDescent="0.3">
      <c r="A46" s="27"/>
      <c r="B46" s="11" t="str">
        <f>CONCATENATE("          ", "6002", " - ", "STAFF SALARIES")</f>
        <v xml:space="preserve">          6002 - STAFF SALARIES</v>
      </c>
      <c r="C46" s="11"/>
      <c r="D46" s="7">
        <v>30857.38</v>
      </c>
      <c r="E46" s="2"/>
      <c r="F46" s="6">
        <f t="shared" si="27"/>
        <v>1.6851596696020206</v>
      </c>
      <c r="G46" s="2"/>
      <c r="H46" s="7">
        <v>14173.28</v>
      </c>
      <c r="I46" s="2"/>
      <c r="J46" s="6">
        <f t="shared" si="28"/>
        <v>0.17269017292557179</v>
      </c>
      <c r="K46" s="2"/>
      <c r="L46" s="7">
        <f t="shared" si="29"/>
        <v>16684.099999999999</v>
      </c>
      <c r="M46" s="2"/>
      <c r="N46" s="6">
        <f t="shared" si="30"/>
        <v>1.1771516543806373</v>
      </c>
      <c r="O46" s="11"/>
      <c r="P46" s="7">
        <v>165805.63</v>
      </c>
      <c r="Q46" s="2"/>
      <c r="R46" s="6">
        <f t="shared" si="31"/>
        <v>0.24253814602003296</v>
      </c>
      <c r="S46" s="2"/>
      <c r="T46" s="7">
        <v>146922.51</v>
      </c>
      <c r="U46" s="2"/>
      <c r="V46" s="6">
        <f t="shared" si="32"/>
        <v>0.52684203934014195</v>
      </c>
      <c r="W46" s="2"/>
      <c r="X46" s="7">
        <f t="shared" si="33"/>
        <v>18883.119999999995</v>
      </c>
      <c r="Y46" s="2"/>
      <c r="Z46" s="6">
        <f t="shared" si="34"/>
        <v>0.12852434933217513</v>
      </c>
    </row>
    <row r="47" spans="1:26" s="24" customFormat="1" hidden="1" outlineLevel="2" x14ac:dyDescent="0.3">
      <c r="A47" s="27"/>
      <c r="B47" s="11" t="str">
        <f>CONCATENATE("          ", "6004", " - ", "STAFF HOURLY")</f>
        <v xml:space="preserve">          6004 - STAFF HOURLY</v>
      </c>
      <c r="C47" s="11"/>
      <c r="D47" s="7">
        <v>13400.11</v>
      </c>
      <c r="E47" s="2"/>
      <c r="F47" s="6">
        <f t="shared" si="27"/>
        <v>0.73179657314492463</v>
      </c>
      <c r="G47" s="2"/>
      <c r="H47" s="7">
        <v>960.45</v>
      </c>
      <c r="I47" s="2"/>
      <c r="J47" s="6">
        <f t="shared" si="28"/>
        <v>1.1702321310689228E-2</v>
      </c>
      <c r="K47" s="2"/>
      <c r="L47" s="7">
        <f t="shared" si="29"/>
        <v>12439.66</v>
      </c>
      <c r="M47" s="2"/>
      <c r="N47" s="6">
        <f t="shared" si="30"/>
        <v>12.951907959810505</v>
      </c>
      <c r="O47" s="11"/>
      <c r="P47" s="7">
        <v>72525.23</v>
      </c>
      <c r="Q47" s="2"/>
      <c r="R47" s="6">
        <f t="shared" si="31"/>
        <v>0.10608888747551259</v>
      </c>
      <c r="S47" s="2"/>
      <c r="T47" s="7">
        <v>21485.08</v>
      </c>
      <c r="U47" s="2"/>
      <c r="V47" s="6">
        <f t="shared" si="32"/>
        <v>7.7042267808970166E-2</v>
      </c>
      <c r="W47" s="2"/>
      <c r="X47" s="7">
        <f t="shared" si="33"/>
        <v>51040.149999999994</v>
      </c>
      <c r="Y47" s="2"/>
      <c r="Z47" s="6">
        <f t="shared" si="34"/>
        <v>2.3756090272877732</v>
      </c>
    </row>
    <row r="48" spans="1:26" s="24" customFormat="1" hidden="1" outlineLevel="2" x14ac:dyDescent="0.3">
      <c r="A48" s="27"/>
      <c r="B48" s="11" t="str">
        <f>CONCATENATE("          ", "6005", " - ", "TEMPORARY WAGES-HOURLY")</f>
        <v xml:space="preserve">          6005 - TEMPORARY WAGES-HOURLY</v>
      </c>
      <c r="C48" s="11"/>
      <c r="D48" s="7">
        <v>4125.04</v>
      </c>
      <c r="E48" s="2"/>
      <c r="F48" s="6">
        <f t="shared" si="27"/>
        <v>0.2252735340296266</v>
      </c>
      <c r="G48" s="2"/>
      <c r="H48" s="7">
        <v>0</v>
      </c>
      <c r="I48" s="2"/>
      <c r="J48" s="6">
        <f t="shared" si="28"/>
        <v>0</v>
      </c>
      <c r="K48" s="2"/>
      <c r="L48" s="7">
        <f t="shared" si="29"/>
        <v>4125.04</v>
      </c>
      <c r="M48" s="2"/>
      <c r="N48" s="6">
        <f t="shared" si="30"/>
        <v>0</v>
      </c>
      <c r="O48" s="11"/>
      <c r="P48" s="7">
        <v>79807.509999999995</v>
      </c>
      <c r="Q48" s="2"/>
      <c r="R48" s="6">
        <f t="shared" si="31"/>
        <v>0.11674130434458251</v>
      </c>
      <c r="S48" s="2"/>
      <c r="T48" s="7">
        <v>4868.67</v>
      </c>
      <c r="U48" s="2"/>
      <c r="V48" s="6">
        <f t="shared" si="32"/>
        <v>1.7458318889829533E-2</v>
      </c>
      <c r="W48" s="2"/>
      <c r="X48" s="7">
        <f t="shared" si="33"/>
        <v>74938.84</v>
      </c>
      <c r="Y48" s="2"/>
      <c r="Z48" s="6">
        <f t="shared" si="34"/>
        <v>15.392055735960744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7">
        <v>8842.2999999999993</v>
      </c>
      <c r="E49" s="2"/>
      <c r="F49" s="6">
        <f t="shared" si="27"/>
        <v>0.48288893439825242</v>
      </c>
      <c r="G49" s="2"/>
      <c r="H49" s="7">
        <v>161</v>
      </c>
      <c r="I49" s="2"/>
      <c r="J49" s="6">
        <f t="shared" si="28"/>
        <v>1.9616572762985742E-3</v>
      </c>
      <c r="K49" s="2"/>
      <c r="L49" s="7">
        <f t="shared" si="29"/>
        <v>8681.2999999999993</v>
      </c>
      <c r="M49" s="2"/>
      <c r="N49" s="6">
        <f t="shared" si="30"/>
        <v>53.921118012422355</v>
      </c>
      <c r="O49" s="11"/>
      <c r="P49" s="7">
        <v>91667.98</v>
      </c>
      <c r="Q49" s="2"/>
      <c r="R49" s="6">
        <f t="shared" si="31"/>
        <v>0.13409063322277695</v>
      </c>
      <c r="S49" s="2"/>
      <c r="T49" s="7">
        <v>230.71</v>
      </c>
      <c r="U49" s="2"/>
      <c r="V49" s="6">
        <f t="shared" si="32"/>
        <v>8.2729138575269462E-4</v>
      </c>
      <c r="W49" s="2"/>
      <c r="X49" s="7">
        <f t="shared" si="33"/>
        <v>91437.26999999999</v>
      </c>
      <c r="Y49" s="2"/>
      <c r="Z49" s="6">
        <f t="shared" si="34"/>
        <v>396.32989467296602</v>
      </c>
    </row>
    <row r="50" spans="1:26" s="29" customFormat="1" outlineLevel="1" collapsed="1" x14ac:dyDescent="0.3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261.93</v>
      </c>
      <c r="E50" s="1"/>
      <c r="F50" s="5">
        <f t="shared" ref="F50:F58" si="35">IF(D$12=0,0,D50/D$12)</f>
        <v>1.4304321114069219E-2</v>
      </c>
      <c r="G50" s="1"/>
      <c r="H50" s="1">
        <f>SUM(OSRRefH22_2x_0)</f>
        <v>5.4</v>
      </c>
      <c r="I50" s="1"/>
      <c r="J50" s="5">
        <f t="shared" ref="J50:J58" si="36">IF(H$12=0,0,H50/H$12)</f>
        <v>6.5794716099455287E-5</v>
      </c>
      <c r="K50" s="1"/>
      <c r="L50" s="1">
        <f t="shared" ref="L50:L58" si="37">+D50-H50</f>
        <v>256.53000000000003</v>
      </c>
      <c r="M50" s="1"/>
      <c r="N50" s="5">
        <f t="shared" ref="N50:N58" si="38">IF(H50=0,0,L50/H50)</f>
        <v>47.50555555555556</v>
      </c>
      <c r="O50" s="14"/>
      <c r="P50" s="1">
        <f>SUM(OSRRefP22_2x_0)</f>
        <v>1266.51</v>
      </c>
      <c r="Q50" s="1"/>
      <c r="R50" s="5">
        <f t="shared" ref="R50:R58" si="39">IF(P$12=0,0,P50/P$12)</f>
        <v>1.8526330337264901E-3</v>
      </c>
      <c r="S50" s="1"/>
      <c r="T50" s="1">
        <f>SUM(OSRRefT22_2x_0)</f>
        <v>139.35</v>
      </c>
      <c r="U50" s="1"/>
      <c r="V50" s="5">
        <f t="shared" ref="V50:V58" si="40">IF(T$12=0,0,T50/T$12)</f>
        <v>4.9968815658028691E-4</v>
      </c>
      <c r="W50" s="1"/>
      <c r="X50" s="1">
        <f t="shared" ref="X50:X58" si="41">+P50-T50</f>
        <v>1127.1600000000001</v>
      </c>
      <c r="Y50" s="1"/>
      <c r="Z50" s="5">
        <f t="shared" ref="Z50:Z58" si="42">IF(T50=0,0,X50/T50)</f>
        <v>8.088697524219592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7">
        <v>261.93</v>
      </c>
      <c r="E51" s="2"/>
      <c r="F51" s="6">
        <f t="shared" si="35"/>
        <v>1.4304321114069219E-2</v>
      </c>
      <c r="G51" s="2"/>
      <c r="H51" s="7">
        <v>5.4</v>
      </c>
      <c r="I51" s="2"/>
      <c r="J51" s="6">
        <f t="shared" si="36"/>
        <v>6.5794716099455287E-5</v>
      </c>
      <c r="K51" s="2"/>
      <c r="L51" s="7">
        <f t="shared" si="37"/>
        <v>256.53000000000003</v>
      </c>
      <c r="M51" s="2"/>
      <c r="N51" s="6">
        <f t="shared" si="38"/>
        <v>47.50555555555556</v>
      </c>
      <c r="O51" s="11"/>
      <c r="P51" s="7">
        <v>1266.51</v>
      </c>
      <c r="Q51" s="2"/>
      <c r="R51" s="6">
        <f t="shared" si="39"/>
        <v>1.8526330337264901E-3</v>
      </c>
      <c r="S51" s="2"/>
      <c r="T51" s="7">
        <v>139.35</v>
      </c>
      <c r="U51" s="2"/>
      <c r="V51" s="6">
        <f t="shared" si="40"/>
        <v>4.9968815658028691E-4</v>
      </c>
      <c r="W51" s="2"/>
      <c r="X51" s="7">
        <f t="shared" si="41"/>
        <v>1127.1600000000001</v>
      </c>
      <c r="Y51" s="2"/>
      <c r="Z51" s="6">
        <f t="shared" si="42"/>
        <v>8.088697524219592</v>
      </c>
    </row>
    <row r="52" spans="1:26" s="29" customFormat="1" outlineLevel="1" collapsed="1" x14ac:dyDescent="0.3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-20.56</v>
      </c>
      <c r="E52" s="1"/>
      <c r="F52" s="5">
        <f t="shared" si="35"/>
        <v>-1.1228070175438596E-3</v>
      </c>
      <c r="G52" s="1"/>
      <c r="H52" s="1">
        <f>SUM(OSRRefH22_3x_0)</f>
        <v>0</v>
      </c>
      <c r="I52" s="1"/>
      <c r="J52" s="5">
        <f t="shared" si="36"/>
        <v>0</v>
      </c>
      <c r="K52" s="1"/>
      <c r="L52" s="1">
        <f t="shared" si="37"/>
        <v>-20.56</v>
      </c>
      <c r="M52" s="1"/>
      <c r="N52" s="5">
        <f t="shared" si="38"/>
        <v>0</v>
      </c>
      <c r="O52" s="14"/>
      <c r="P52" s="1">
        <f>SUM(OSRRefP22_3x_0)</f>
        <v>-72.63</v>
      </c>
      <c r="Q52" s="1"/>
      <c r="R52" s="5">
        <f t="shared" si="39"/>
        <v>-1.0624214355950997E-4</v>
      </c>
      <c r="S52" s="1"/>
      <c r="T52" s="1">
        <f>SUM(OSRRefT22_3x_0)</f>
        <v>12.1</v>
      </c>
      <c r="U52" s="1"/>
      <c r="V52" s="5">
        <f t="shared" si="40"/>
        <v>4.3388781446870983E-5</v>
      </c>
      <c r="W52" s="1"/>
      <c r="X52" s="1">
        <f t="shared" si="41"/>
        <v>-84.72999999999999</v>
      </c>
      <c r="Y52" s="1"/>
      <c r="Z52" s="5">
        <f t="shared" si="42"/>
        <v>-7.0024793388429742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7">
        <v>-20.56</v>
      </c>
      <c r="E53" s="2"/>
      <c r="F53" s="6">
        <f t="shared" si="35"/>
        <v>-1.1228070175438596E-3</v>
      </c>
      <c r="G53" s="2"/>
      <c r="H53" s="7"/>
      <c r="I53" s="2"/>
      <c r="J53" s="6">
        <f t="shared" si="36"/>
        <v>0</v>
      </c>
      <c r="K53" s="2"/>
      <c r="L53" s="7">
        <f t="shared" si="37"/>
        <v>-20.56</v>
      </c>
      <c r="M53" s="2"/>
      <c r="N53" s="6">
        <f t="shared" si="38"/>
        <v>0</v>
      </c>
      <c r="O53" s="11"/>
      <c r="P53" s="7">
        <v>-72.63</v>
      </c>
      <c r="Q53" s="2"/>
      <c r="R53" s="6">
        <f t="shared" si="39"/>
        <v>-1.0624214355950997E-4</v>
      </c>
      <c r="S53" s="2"/>
      <c r="T53" s="7">
        <v>12.1</v>
      </c>
      <c r="U53" s="2"/>
      <c r="V53" s="6">
        <f t="shared" si="40"/>
        <v>4.3388781446870983E-5</v>
      </c>
      <c r="W53" s="2"/>
      <c r="X53" s="7">
        <f t="shared" si="41"/>
        <v>-84.72999999999999</v>
      </c>
      <c r="Y53" s="2"/>
      <c r="Z53" s="6">
        <f t="shared" si="42"/>
        <v>-7.0024793388429742</v>
      </c>
    </row>
    <row r="54" spans="1:26" s="29" customFormat="1" outlineLevel="1" collapsed="1" x14ac:dyDescent="0.3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715.75</v>
      </c>
      <c r="E54" s="1"/>
      <c r="F54" s="5">
        <f t="shared" si="35"/>
        <v>3.908799235442692E-2</v>
      </c>
      <c r="G54" s="1"/>
      <c r="H54" s="1">
        <f>SUM(OSRRefH22_4x_0)</f>
        <v>896.72</v>
      </c>
      <c r="I54" s="1"/>
      <c r="J54" s="5">
        <f t="shared" si="36"/>
        <v>1.0925821818648805E-2</v>
      </c>
      <c r="K54" s="1"/>
      <c r="L54" s="1">
        <f t="shared" si="37"/>
        <v>-180.97000000000003</v>
      </c>
      <c r="M54" s="1"/>
      <c r="N54" s="5">
        <f t="shared" si="38"/>
        <v>-0.20181327504683738</v>
      </c>
      <c r="O54" s="14"/>
      <c r="P54" s="1">
        <f>SUM(OSRRefP22_4x_0)</f>
        <v>27235.599999999999</v>
      </c>
      <c r="Q54" s="1"/>
      <c r="R54" s="5">
        <f t="shared" si="39"/>
        <v>3.9839853023948643E-2</v>
      </c>
      <c r="S54" s="1"/>
      <c r="T54" s="1">
        <f>SUM(OSRRefT22_4x_0)</f>
        <v>5064.8100000000004</v>
      </c>
      <c r="U54" s="1"/>
      <c r="V54" s="5">
        <f t="shared" si="40"/>
        <v>1.8161647451233609E-2</v>
      </c>
      <c r="W54" s="1"/>
      <c r="X54" s="1">
        <f t="shared" si="41"/>
        <v>22170.789999999997</v>
      </c>
      <c r="Y54" s="1"/>
      <c r="Z54" s="5">
        <f t="shared" si="42"/>
        <v>4.3774179090627277</v>
      </c>
    </row>
    <row r="55" spans="1:26" s="24" customFormat="1" hidden="1" outlineLevel="2" x14ac:dyDescent="0.3">
      <c r="A55" s="27"/>
      <c r="B55" s="11" t="str">
        <f>CONCATENATE("          ", "6381", " - ", "BANK/CREDIT CARD FEES")</f>
        <v xml:space="preserve">          6381 - BANK/CREDIT CARD FEES</v>
      </c>
      <c r="C55" s="11"/>
      <c r="D55" s="7">
        <v>715.75</v>
      </c>
      <c r="E55" s="2"/>
      <c r="F55" s="6">
        <f t="shared" si="35"/>
        <v>3.908799235442692E-2</v>
      </c>
      <c r="G55" s="2"/>
      <c r="H55" s="7">
        <v>896.72</v>
      </c>
      <c r="I55" s="2"/>
      <c r="J55" s="6">
        <f t="shared" si="36"/>
        <v>1.0925821818648805E-2</v>
      </c>
      <c r="K55" s="2"/>
      <c r="L55" s="7">
        <f t="shared" si="37"/>
        <v>-180.97000000000003</v>
      </c>
      <c r="M55" s="2"/>
      <c r="N55" s="6">
        <f t="shared" si="38"/>
        <v>-0.20181327504683738</v>
      </c>
      <c r="O55" s="11"/>
      <c r="P55" s="7">
        <v>27235.599999999999</v>
      </c>
      <c r="Q55" s="2"/>
      <c r="R55" s="6">
        <f t="shared" si="39"/>
        <v>3.9839853023948643E-2</v>
      </c>
      <c r="S55" s="2"/>
      <c r="T55" s="7">
        <v>5064.8100000000004</v>
      </c>
      <c r="U55" s="2"/>
      <c r="V55" s="6">
        <f t="shared" si="40"/>
        <v>1.8161647451233609E-2</v>
      </c>
      <c r="W55" s="2"/>
      <c r="X55" s="7">
        <f t="shared" si="41"/>
        <v>22170.789999999997</v>
      </c>
      <c r="Y55" s="2"/>
      <c r="Z55" s="6">
        <f t="shared" si="42"/>
        <v>4.3774179090627277</v>
      </c>
    </row>
    <row r="56" spans="1:26" s="29" customFormat="1" outlineLevel="1" collapsed="1" x14ac:dyDescent="0.3">
      <c r="A56" s="28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39106.79</v>
      </c>
      <c r="E56" s="1"/>
      <c r="F56" s="5">
        <f t="shared" si="35"/>
        <v>2.1356701481329785</v>
      </c>
      <c r="G56" s="1"/>
      <c r="H56" s="1">
        <f>SUM(OSRRefH22_5x_0)</f>
        <v>45872.85</v>
      </c>
      <c r="I56" s="1"/>
      <c r="J56" s="5">
        <f t="shared" si="36"/>
        <v>0.55892428563386987</v>
      </c>
      <c r="K56" s="1"/>
      <c r="L56" s="1">
        <f t="shared" si="37"/>
        <v>-6766.0599999999977</v>
      </c>
      <c r="M56" s="1"/>
      <c r="N56" s="5">
        <f t="shared" si="38"/>
        <v>-0.14749595893867501</v>
      </c>
      <c r="O56" s="14"/>
      <c r="P56" s="1">
        <f>SUM(OSRRefP22_5x_0)</f>
        <v>276268.03000000003</v>
      </c>
      <c r="Q56" s="1"/>
      <c r="R56" s="5">
        <f t="shared" si="39"/>
        <v>0.40412099276005797</v>
      </c>
      <c r="S56" s="1"/>
      <c r="T56" s="1">
        <f>SUM(OSRRefT22_5x_0)</f>
        <v>324114.75</v>
      </c>
      <c r="U56" s="1"/>
      <c r="V56" s="5">
        <f t="shared" si="40"/>
        <v>1.1622267811121676</v>
      </c>
      <c r="W56" s="1"/>
      <c r="X56" s="1">
        <f t="shared" si="41"/>
        <v>-47846.719999999972</v>
      </c>
      <c r="Y56" s="1"/>
      <c r="Z56" s="5">
        <f t="shared" si="42"/>
        <v>-0.14762277866095255</v>
      </c>
    </row>
    <row r="57" spans="1:26" s="24" customFormat="1" hidden="1" outlineLevel="2" x14ac:dyDescent="0.3">
      <c r="A57" s="27"/>
      <c r="B57" s="11" t="str">
        <f>CONCATENATE("          ", "6321", " - ", "BUILDING DEPRECIATION")</f>
        <v xml:space="preserve">          6321 - BUILDING DEPRECIATION</v>
      </c>
      <c r="C57" s="11"/>
      <c r="D57" s="7">
        <v>28619.91</v>
      </c>
      <c r="E57" s="2"/>
      <c r="F57" s="6">
        <f t="shared" si="35"/>
        <v>1.5629686668031948</v>
      </c>
      <c r="G57" s="2"/>
      <c r="H57" s="7">
        <v>28664</v>
      </c>
      <c r="I57" s="2"/>
      <c r="J57" s="6">
        <f t="shared" si="36"/>
        <v>0.34924810042125676</v>
      </c>
      <c r="K57" s="2"/>
      <c r="L57" s="7">
        <f t="shared" si="37"/>
        <v>-44.090000000000146</v>
      </c>
      <c r="M57" s="2"/>
      <c r="N57" s="6">
        <f t="shared" si="38"/>
        <v>-1.5381663410549869E-3</v>
      </c>
      <c r="O57" s="11"/>
      <c r="P57" s="7">
        <v>200427.51</v>
      </c>
      <c r="Q57" s="2"/>
      <c r="R57" s="6">
        <f t="shared" si="39"/>
        <v>0.2931825456518673</v>
      </c>
      <c r="S57" s="2"/>
      <c r="T57" s="7">
        <v>201432.19</v>
      </c>
      <c r="U57" s="2"/>
      <c r="V57" s="6">
        <f t="shared" si="40"/>
        <v>0.72230555936153651</v>
      </c>
      <c r="W57" s="2"/>
      <c r="X57" s="7">
        <f t="shared" si="41"/>
        <v>-1004.679999999993</v>
      </c>
      <c r="Y57" s="2"/>
      <c r="Z57" s="6">
        <f t="shared" si="42"/>
        <v>-4.9876834482114945E-3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10486.88</v>
      </c>
      <c r="E58" s="2"/>
      <c r="F58" s="6">
        <f t="shared" si="35"/>
        <v>0.5727014813297836</v>
      </c>
      <c r="G58" s="2"/>
      <c r="H58" s="7">
        <v>17208.849999999999</v>
      </c>
      <c r="I58" s="2"/>
      <c r="J58" s="6">
        <f t="shared" si="36"/>
        <v>0.20967618521261316</v>
      </c>
      <c r="K58" s="2"/>
      <c r="L58" s="7">
        <f t="shared" si="37"/>
        <v>-6721.9699999999993</v>
      </c>
      <c r="M58" s="2"/>
      <c r="N58" s="6">
        <f t="shared" si="38"/>
        <v>-0.39061122620047245</v>
      </c>
      <c r="O58" s="11"/>
      <c r="P58" s="7">
        <v>75840.52</v>
      </c>
      <c r="Q58" s="2"/>
      <c r="R58" s="6">
        <f t="shared" si="39"/>
        <v>0.11093844710819066</v>
      </c>
      <c r="S58" s="2"/>
      <c r="T58" s="7">
        <v>122682.56</v>
      </c>
      <c r="U58" s="2"/>
      <c r="V58" s="6">
        <f t="shared" si="40"/>
        <v>0.43992122175063109</v>
      </c>
      <c r="W58" s="2"/>
      <c r="X58" s="7">
        <f t="shared" si="41"/>
        <v>-46842.039999999994</v>
      </c>
      <c r="Y58" s="2"/>
      <c r="Z58" s="6">
        <f t="shared" si="42"/>
        <v>-0.38181498657999957</v>
      </c>
    </row>
    <row r="59" spans="1:26" s="29" customFormat="1" outlineLevel="1" collapsed="1" x14ac:dyDescent="0.3">
      <c r="A59" s="28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65" si="43">IF(D$12=0,0,D59/D$12)</f>
        <v>0</v>
      </c>
      <c r="G59" s="1"/>
      <c r="H59" s="1">
        <f>SUM(OSRRefH22_6x_0)</f>
        <v>0</v>
      </c>
      <c r="I59" s="1"/>
      <c r="J59" s="5">
        <f t="shared" ref="J59:J65" si="44">IF(H$12=0,0,H59/H$12)</f>
        <v>0</v>
      </c>
      <c r="K59" s="1"/>
      <c r="L59" s="1">
        <f t="shared" ref="L59:L65" si="45">+D59-H59</f>
        <v>0</v>
      </c>
      <c r="M59" s="1"/>
      <c r="N59" s="5">
        <f t="shared" ref="N59:N65" si="46">IF(H59=0,0,L59/H59)</f>
        <v>0</v>
      </c>
      <c r="O59" s="14"/>
      <c r="P59" s="1">
        <f>SUM(OSRRefP22_6x_0)</f>
        <v>314.87</v>
      </c>
      <c r="Q59" s="1"/>
      <c r="R59" s="5">
        <f t="shared" ref="R59:R65" si="47">IF(P$12=0,0,P59/P$12)</f>
        <v>4.605874121242311E-4</v>
      </c>
      <c r="S59" s="1"/>
      <c r="T59" s="1">
        <f>SUM(OSRRefT22_6x_0)</f>
        <v>10</v>
      </c>
      <c r="U59" s="1"/>
      <c r="V59" s="5">
        <f t="shared" ref="V59:V65" si="48">IF(T$12=0,0,T59/T$12)</f>
        <v>3.5858497063529742E-5</v>
      </c>
      <c r="W59" s="1"/>
      <c r="X59" s="1">
        <f t="shared" ref="X59:X65" si="49">+P59-T59</f>
        <v>304.87</v>
      </c>
      <c r="Y59" s="1"/>
      <c r="Z59" s="5">
        <f t="shared" ref="Z59:Z65" si="50">IF(T59=0,0,X59/T59)</f>
        <v>30.487000000000002</v>
      </c>
    </row>
    <row r="60" spans="1:26" s="24" customFormat="1" hidden="1" outlineLevel="2" x14ac:dyDescent="0.3">
      <c r="A60" s="27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43"/>
        <v>0</v>
      </c>
      <c r="G60" s="2"/>
      <c r="H60" s="7"/>
      <c r="I60" s="2"/>
      <c r="J60" s="6">
        <f t="shared" si="44"/>
        <v>0</v>
      </c>
      <c r="K60" s="2"/>
      <c r="L60" s="7">
        <f t="shared" si="45"/>
        <v>0</v>
      </c>
      <c r="M60" s="2"/>
      <c r="N60" s="6">
        <f t="shared" si="46"/>
        <v>0</v>
      </c>
      <c r="O60" s="11"/>
      <c r="P60" s="7">
        <v>314.87</v>
      </c>
      <c r="Q60" s="2"/>
      <c r="R60" s="6">
        <f t="shared" si="47"/>
        <v>4.605874121242311E-4</v>
      </c>
      <c r="S60" s="2"/>
      <c r="T60" s="7">
        <v>10</v>
      </c>
      <c r="U60" s="2"/>
      <c r="V60" s="6">
        <f t="shared" si="48"/>
        <v>3.5858497063529742E-5</v>
      </c>
      <c r="W60" s="2"/>
      <c r="X60" s="7">
        <f t="shared" si="49"/>
        <v>304.87</v>
      </c>
      <c r="Y60" s="2"/>
      <c r="Z60" s="6">
        <f t="shared" si="50"/>
        <v>30.487000000000002</v>
      </c>
    </row>
    <row r="61" spans="1:26" s="29" customFormat="1" outlineLevel="1" collapsed="1" x14ac:dyDescent="0.3">
      <c r="A61" s="28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958.04</v>
      </c>
      <c r="E61" s="1"/>
      <c r="F61" s="5">
        <f t="shared" si="43"/>
        <v>5.2319748788313192E-2</v>
      </c>
      <c r="G61" s="1"/>
      <c r="H61" s="1">
        <f>SUM(OSRRefH22_7x_0)</f>
        <v>267.66000000000003</v>
      </c>
      <c r="I61" s="1"/>
      <c r="J61" s="5">
        <f t="shared" si="44"/>
        <v>3.2612247613296673E-3</v>
      </c>
      <c r="K61" s="1"/>
      <c r="L61" s="1">
        <f t="shared" si="45"/>
        <v>690.37999999999988</v>
      </c>
      <c r="M61" s="1"/>
      <c r="N61" s="5">
        <f t="shared" si="46"/>
        <v>2.579317044011058</v>
      </c>
      <c r="O61" s="14"/>
      <c r="P61" s="1">
        <f>SUM(OSRRefP22_7x_0)</f>
        <v>6356.19</v>
      </c>
      <c r="Q61" s="1"/>
      <c r="R61" s="5">
        <f t="shared" si="47"/>
        <v>9.2977454284940333E-3</v>
      </c>
      <c r="S61" s="1"/>
      <c r="T61" s="1">
        <f>SUM(OSRRefT22_7x_0)</f>
        <v>4729.43</v>
      </c>
      <c r="U61" s="1"/>
      <c r="V61" s="5">
        <f t="shared" si="48"/>
        <v>1.6959025176716946E-2</v>
      </c>
      <c r="W61" s="1"/>
      <c r="X61" s="1">
        <f t="shared" si="49"/>
        <v>1626.7599999999993</v>
      </c>
      <c r="Y61" s="1"/>
      <c r="Z61" s="5">
        <f t="shared" si="50"/>
        <v>0.34396534043214494</v>
      </c>
    </row>
    <row r="62" spans="1:26" s="24" customFormat="1" hidden="1" outlineLevel="2" x14ac:dyDescent="0.3">
      <c r="A62" s="27"/>
      <c r="B62" s="11" t="str">
        <f>CONCATENATE("          ", "6351", " - ", "EQUIPMENT RENTAL")</f>
        <v xml:space="preserve">          6351 - EQUIPMENT RENTAL</v>
      </c>
      <c r="C62" s="11"/>
      <c r="D62" s="7">
        <v>958.04</v>
      </c>
      <c r="E62" s="2"/>
      <c r="F62" s="6">
        <f t="shared" si="43"/>
        <v>5.2319748788313192E-2</v>
      </c>
      <c r="G62" s="2"/>
      <c r="H62" s="7">
        <v>267.66000000000003</v>
      </c>
      <c r="I62" s="2"/>
      <c r="J62" s="6">
        <f t="shared" si="44"/>
        <v>3.2612247613296673E-3</v>
      </c>
      <c r="K62" s="2"/>
      <c r="L62" s="7">
        <f t="shared" si="45"/>
        <v>690.37999999999988</v>
      </c>
      <c r="M62" s="2"/>
      <c r="N62" s="6">
        <f t="shared" si="46"/>
        <v>2.579317044011058</v>
      </c>
      <c r="O62" s="11"/>
      <c r="P62" s="7">
        <v>6356.19</v>
      </c>
      <c r="Q62" s="2"/>
      <c r="R62" s="6">
        <f t="shared" si="47"/>
        <v>9.2977454284940333E-3</v>
      </c>
      <c r="S62" s="2"/>
      <c r="T62" s="7">
        <v>4729.43</v>
      </c>
      <c r="U62" s="2"/>
      <c r="V62" s="6">
        <f t="shared" si="48"/>
        <v>1.6959025176716946E-2</v>
      </c>
      <c r="W62" s="2"/>
      <c r="X62" s="7">
        <f t="shared" si="49"/>
        <v>1626.7599999999993</v>
      </c>
      <c r="Y62" s="2"/>
      <c r="Z62" s="6">
        <f t="shared" si="50"/>
        <v>0.34396534043214494</v>
      </c>
    </row>
    <row r="63" spans="1:26" s="29" customFormat="1" outlineLevel="1" collapsed="1" x14ac:dyDescent="0.3">
      <c r="A63" s="28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43"/>
        <v>0</v>
      </c>
      <c r="G63" s="1"/>
      <c r="H63" s="1">
        <f>SUM(OSRRefH22_8x_0)</f>
        <v>8.17</v>
      </c>
      <c r="I63" s="1"/>
      <c r="J63" s="5">
        <f t="shared" si="44"/>
        <v>9.9544968617138829E-5</v>
      </c>
      <c r="K63" s="1"/>
      <c r="L63" s="1">
        <f t="shared" si="45"/>
        <v>-8.17</v>
      </c>
      <c r="M63" s="1"/>
      <c r="N63" s="5">
        <f t="shared" si="46"/>
        <v>-1</v>
      </c>
      <c r="O63" s="14"/>
      <c r="P63" s="1">
        <f>SUM(OSRRefP22_8x_0)</f>
        <v>0</v>
      </c>
      <c r="Q63" s="1"/>
      <c r="R63" s="5">
        <f t="shared" si="47"/>
        <v>0</v>
      </c>
      <c r="S63" s="1"/>
      <c r="T63" s="1">
        <f>SUM(OSRRefT22_8x_0)</f>
        <v>112.02000000000001</v>
      </c>
      <c r="U63" s="1"/>
      <c r="V63" s="5">
        <f t="shared" si="48"/>
        <v>4.0168688410566016E-4</v>
      </c>
      <c r="W63" s="1"/>
      <c r="X63" s="1">
        <f t="shared" si="49"/>
        <v>-112.02000000000001</v>
      </c>
      <c r="Y63" s="1"/>
      <c r="Z63" s="5">
        <f t="shared" si="50"/>
        <v>-1</v>
      </c>
    </row>
    <row r="64" spans="1:26" s="24" customFormat="1" hidden="1" outlineLevel="2" x14ac:dyDescent="0.3">
      <c r="A64" s="27"/>
      <c r="B64" s="11" t="str">
        <f>CONCATENATE("          ", "6305", " - ", "FREIGHT OUT")</f>
        <v xml:space="preserve">          6305 - FREIGHT OUT</v>
      </c>
      <c r="C64" s="11"/>
      <c r="D64" s="7"/>
      <c r="E64" s="2"/>
      <c r="F64" s="6">
        <f t="shared" si="43"/>
        <v>0</v>
      </c>
      <c r="G64" s="2"/>
      <c r="H64" s="7">
        <v>8.17</v>
      </c>
      <c r="I64" s="2"/>
      <c r="J64" s="6">
        <f t="shared" si="44"/>
        <v>9.9544968617138829E-5</v>
      </c>
      <c r="K64" s="2"/>
      <c r="L64" s="7">
        <f t="shared" si="45"/>
        <v>-8.17</v>
      </c>
      <c r="M64" s="2"/>
      <c r="N64" s="6">
        <f t="shared" si="46"/>
        <v>-1</v>
      </c>
      <c r="O64" s="11"/>
      <c r="P64" s="7"/>
      <c r="Q64" s="2"/>
      <c r="R64" s="6">
        <f t="shared" si="47"/>
        <v>0</v>
      </c>
      <c r="S64" s="2"/>
      <c r="T64" s="7">
        <v>117.43</v>
      </c>
      <c r="U64" s="2"/>
      <c r="V64" s="6">
        <f t="shared" si="48"/>
        <v>4.2108633101702975E-4</v>
      </c>
      <c r="W64" s="2"/>
      <c r="X64" s="7">
        <f t="shared" si="49"/>
        <v>-117.43</v>
      </c>
      <c r="Y64" s="2"/>
      <c r="Z64" s="6">
        <f t="shared" si="50"/>
        <v>-1</v>
      </c>
    </row>
    <row r="65" spans="1:26" s="24" customFormat="1" hidden="1" outlineLevel="2" x14ac:dyDescent="0.3">
      <c r="A65" s="27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43"/>
        <v>0</v>
      </c>
      <c r="G65" s="2"/>
      <c r="H65" s="7"/>
      <c r="I65" s="2"/>
      <c r="J65" s="6">
        <f t="shared" si="44"/>
        <v>0</v>
      </c>
      <c r="K65" s="2"/>
      <c r="L65" s="7">
        <f t="shared" si="45"/>
        <v>0</v>
      </c>
      <c r="M65" s="2"/>
      <c r="N65" s="6">
        <f t="shared" si="46"/>
        <v>0</v>
      </c>
      <c r="O65" s="11"/>
      <c r="P65" s="7"/>
      <c r="Q65" s="2"/>
      <c r="R65" s="6">
        <f t="shared" si="47"/>
        <v>0</v>
      </c>
      <c r="S65" s="2"/>
      <c r="T65" s="7">
        <v>-5.41</v>
      </c>
      <c r="U65" s="2"/>
      <c r="V65" s="6">
        <f t="shared" si="48"/>
        <v>-1.9399446911369591E-5</v>
      </c>
      <c r="W65" s="2"/>
      <c r="X65" s="7">
        <f t="shared" si="49"/>
        <v>5.41</v>
      </c>
      <c r="Y65" s="2"/>
      <c r="Z65" s="6">
        <f t="shared" si="50"/>
        <v>-1</v>
      </c>
    </row>
    <row r="66" spans="1:26" s="29" customFormat="1" outlineLevel="1" collapsed="1" x14ac:dyDescent="0.3">
      <c r="A66" s="28"/>
      <c r="B66" s="14" t="str">
        <f>CONCATENATE("     ","General                                           ")</f>
        <v xml:space="preserve">     General                                           </v>
      </c>
      <c r="C66" s="14"/>
      <c r="D66" s="1">
        <f>SUM(OSRRefD22_9x_0)</f>
        <v>1985.06</v>
      </c>
      <c r="E66" s="1"/>
      <c r="F66" s="5">
        <f t="shared" ref="F66:F77" si="51">IF(D$12=0,0,D66/D$12)</f>
        <v>0.10840658065396955</v>
      </c>
      <c r="G66" s="1"/>
      <c r="H66" s="1">
        <f>SUM(OSRRefH22_9x_0)</f>
        <v>-24.99</v>
      </c>
      <c r="I66" s="1"/>
      <c r="J66" s="5">
        <f t="shared" ref="J66:J77" si="52">IF(H$12=0,0,H66/H$12)</f>
        <v>-3.0448332506025696E-4</v>
      </c>
      <c r="K66" s="1"/>
      <c r="L66" s="1">
        <f t="shared" ref="L66:L77" si="53">+D66-H66</f>
        <v>2010.05</v>
      </c>
      <c r="M66" s="1"/>
      <c r="N66" s="5">
        <f t="shared" ref="N66:N77" si="54">IF(H66=0,0,L66/H66)</f>
        <v>-80.434173669467796</v>
      </c>
      <c r="O66" s="14"/>
      <c r="P66" s="1">
        <f>SUM(OSRRefP22_9x_0)</f>
        <v>19376.7</v>
      </c>
      <c r="Q66" s="1"/>
      <c r="R66" s="5">
        <f t="shared" ref="R66:R77" si="55">IF(P$12=0,0,P66/P$12)</f>
        <v>2.8343964520302314E-2</v>
      </c>
      <c r="S66" s="1"/>
      <c r="T66" s="1">
        <f>SUM(OSRRefT22_9x_0)</f>
        <v>7865.94</v>
      </c>
      <c r="U66" s="1"/>
      <c r="V66" s="5">
        <f t="shared" ref="V66:V77" si="56">IF(T$12=0,0,T66/T$12)</f>
        <v>2.820607863919011E-2</v>
      </c>
      <c r="W66" s="1"/>
      <c r="X66" s="1">
        <f t="shared" ref="X66:X77" si="57">+P66-T66</f>
        <v>11510.760000000002</v>
      </c>
      <c r="Y66" s="1"/>
      <c r="Z66" s="5">
        <f t="shared" ref="Z66:Z77" si="58">IF(T66=0,0,X66/T66)</f>
        <v>1.4633673788510977</v>
      </c>
    </row>
    <row r="67" spans="1:26" s="24" customFormat="1" hidden="1" outlineLevel="2" x14ac:dyDescent="0.3">
      <c r="A67" s="27"/>
      <c r="B67" s="11" t="str">
        <f>CONCATENATE("          ", "6279", " - ", "GENERAL EXPENSE")</f>
        <v xml:space="preserve">          6279 - GENERAL EXPENSE</v>
      </c>
      <c r="C67" s="11"/>
      <c r="D67" s="7">
        <v>1985.06</v>
      </c>
      <c r="E67" s="2"/>
      <c r="F67" s="6">
        <f t="shared" si="51"/>
        <v>0.10840658065396955</v>
      </c>
      <c r="G67" s="2"/>
      <c r="H67" s="7">
        <v>-24.99</v>
      </c>
      <c r="I67" s="2"/>
      <c r="J67" s="6">
        <f t="shared" si="52"/>
        <v>-3.0448332506025696E-4</v>
      </c>
      <c r="K67" s="2"/>
      <c r="L67" s="7">
        <f t="shared" si="53"/>
        <v>2010.05</v>
      </c>
      <c r="M67" s="2"/>
      <c r="N67" s="6">
        <f t="shared" si="54"/>
        <v>-80.434173669467796</v>
      </c>
      <c r="O67" s="11"/>
      <c r="P67" s="7">
        <v>19376.7</v>
      </c>
      <c r="Q67" s="2"/>
      <c r="R67" s="6">
        <f t="shared" si="55"/>
        <v>2.8343964520302314E-2</v>
      </c>
      <c r="S67" s="2"/>
      <c r="T67" s="7">
        <v>7865.94</v>
      </c>
      <c r="U67" s="2"/>
      <c r="V67" s="6">
        <f t="shared" si="56"/>
        <v>2.820607863919011E-2</v>
      </c>
      <c r="W67" s="2"/>
      <c r="X67" s="7">
        <f t="shared" si="57"/>
        <v>11510.760000000002</v>
      </c>
      <c r="Y67" s="2"/>
      <c r="Z67" s="6">
        <f t="shared" si="58"/>
        <v>1.4633673788510977</v>
      </c>
    </row>
    <row r="68" spans="1:26" s="29" customFormat="1" outlineLevel="1" collapsed="1" x14ac:dyDescent="0.3">
      <c r="A68" s="28"/>
      <c r="B68" s="14" t="str">
        <f>CONCATENATE("     ","Insurance                                         ")</f>
        <v xml:space="preserve">     Insurance                                         </v>
      </c>
      <c r="C68" s="14"/>
      <c r="D68" s="1">
        <f>SUM(OSRRefD22_10x_0)</f>
        <v>6087.22</v>
      </c>
      <c r="E68" s="1"/>
      <c r="F68" s="5">
        <f t="shared" si="51"/>
        <v>0.33243060959792481</v>
      </c>
      <c r="G68" s="1"/>
      <c r="H68" s="1">
        <f>SUM(OSRRefH22_10x_0)</f>
        <v>4483.67</v>
      </c>
      <c r="I68" s="1"/>
      <c r="J68" s="5">
        <f t="shared" si="52"/>
        <v>5.4629961987711979E-2</v>
      </c>
      <c r="K68" s="1"/>
      <c r="L68" s="1">
        <f t="shared" si="53"/>
        <v>1603.5500000000002</v>
      </c>
      <c r="M68" s="1"/>
      <c r="N68" s="5">
        <f t="shared" si="54"/>
        <v>0.35764228857163888</v>
      </c>
      <c r="O68" s="14"/>
      <c r="P68" s="1">
        <f>SUM(OSRRefP22_10x_0)</f>
        <v>49493.54</v>
      </c>
      <c r="Q68" s="1"/>
      <c r="R68" s="5">
        <f t="shared" si="55"/>
        <v>7.2398454935265727E-2</v>
      </c>
      <c r="S68" s="1"/>
      <c r="T68" s="1">
        <f>SUM(OSRRefT22_10x_0)</f>
        <v>37497.69</v>
      </c>
      <c r="U68" s="1"/>
      <c r="V68" s="5">
        <f t="shared" si="56"/>
        <v>0.13446108067541485</v>
      </c>
      <c r="W68" s="1"/>
      <c r="X68" s="1">
        <f t="shared" si="57"/>
        <v>11995.849999999999</v>
      </c>
      <c r="Y68" s="1"/>
      <c r="Z68" s="5">
        <f t="shared" si="58"/>
        <v>0.31990903973018064</v>
      </c>
    </row>
    <row r="69" spans="1:26" s="24" customFormat="1" hidden="1" outlineLevel="2" x14ac:dyDescent="0.3">
      <c r="A69" s="27"/>
      <c r="B69" s="11" t="str">
        <f>CONCATENATE("          ", "6314", " - ", "LIABILITY INSURANCE")</f>
        <v xml:space="preserve">          6314 - LIABILITY INSURANCE</v>
      </c>
      <c r="C69" s="11"/>
      <c r="D69" s="7">
        <v>6087.22</v>
      </c>
      <c r="E69" s="2"/>
      <c r="F69" s="6">
        <f t="shared" si="51"/>
        <v>0.33243060959792481</v>
      </c>
      <c r="G69" s="2"/>
      <c r="H69" s="7">
        <v>4483.67</v>
      </c>
      <c r="I69" s="2"/>
      <c r="J69" s="6">
        <f t="shared" si="52"/>
        <v>5.4629961987711979E-2</v>
      </c>
      <c r="K69" s="2"/>
      <c r="L69" s="7">
        <f t="shared" si="53"/>
        <v>1603.5500000000002</v>
      </c>
      <c r="M69" s="2"/>
      <c r="N69" s="6">
        <f t="shared" si="54"/>
        <v>0.35764228857163888</v>
      </c>
      <c r="O69" s="11"/>
      <c r="P69" s="7">
        <v>49493.54</v>
      </c>
      <c r="Q69" s="2"/>
      <c r="R69" s="6">
        <f t="shared" si="55"/>
        <v>7.2398454935265727E-2</v>
      </c>
      <c r="S69" s="2"/>
      <c r="T69" s="7">
        <v>37497.69</v>
      </c>
      <c r="U69" s="2"/>
      <c r="V69" s="6">
        <f t="shared" si="56"/>
        <v>0.13446108067541485</v>
      </c>
      <c r="W69" s="2"/>
      <c r="X69" s="7">
        <f t="shared" si="57"/>
        <v>11995.849999999999</v>
      </c>
      <c r="Y69" s="2"/>
      <c r="Z69" s="6">
        <f t="shared" si="58"/>
        <v>0.31990903973018064</v>
      </c>
    </row>
    <row r="70" spans="1:26" s="29" customFormat="1" outlineLevel="1" collapsed="1" x14ac:dyDescent="0.3">
      <c r="A70" s="28"/>
      <c r="B70" s="14" t="str">
        <f>CONCATENATE("     ","Interest                                          ")</f>
        <v xml:space="preserve">     Interest                                          </v>
      </c>
      <c r="C70" s="14"/>
      <c r="D70" s="1">
        <f>SUM(OSRRefD22_11x_0)</f>
        <v>11158</v>
      </c>
      <c r="E70" s="1"/>
      <c r="F70" s="5">
        <f t="shared" si="51"/>
        <v>0.60935217420984367</v>
      </c>
      <c r="G70" s="1"/>
      <c r="H70" s="1">
        <f>SUM(OSRRefH22_11x_0)</f>
        <v>11554</v>
      </c>
      <c r="I70" s="1"/>
      <c r="J70" s="5">
        <f t="shared" si="52"/>
        <v>0.14077632403946413</v>
      </c>
      <c r="K70" s="1"/>
      <c r="L70" s="1">
        <f t="shared" si="53"/>
        <v>-396</v>
      </c>
      <c r="M70" s="1"/>
      <c r="N70" s="5">
        <f t="shared" si="54"/>
        <v>-3.4273844555997926E-2</v>
      </c>
      <c r="O70" s="14"/>
      <c r="P70" s="1">
        <f>SUM(OSRRefP22_11x_0)</f>
        <v>77316</v>
      </c>
      <c r="Q70" s="1"/>
      <c r="R70" s="5">
        <f t="shared" si="55"/>
        <v>0.11309675852192033</v>
      </c>
      <c r="S70" s="1"/>
      <c r="T70" s="1">
        <f>SUM(OSRRefT22_11x_0)</f>
        <v>80129</v>
      </c>
      <c r="U70" s="1"/>
      <c r="V70" s="5">
        <f t="shared" si="56"/>
        <v>0.28733055112035744</v>
      </c>
      <c r="W70" s="1"/>
      <c r="X70" s="1">
        <f t="shared" si="57"/>
        <v>-2813</v>
      </c>
      <c r="Y70" s="1"/>
      <c r="Z70" s="5">
        <f t="shared" si="58"/>
        <v>-3.5105891749553843E-2</v>
      </c>
    </row>
    <row r="71" spans="1:26" s="24" customFormat="1" hidden="1" outlineLevel="2" x14ac:dyDescent="0.3">
      <c r="A71" s="27"/>
      <c r="B71" s="11" t="str">
        <f>CONCATENATE("          ", "6401", " - ", "INTEREST EXPENSE")</f>
        <v xml:space="preserve">          6401 - INTEREST EXPENSE</v>
      </c>
      <c r="C71" s="11"/>
      <c r="D71" s="7">
        <v>11158</v>
      </c>
      <c r="E71" s="2"/>
      <c r="F71" s="6">
        <f t="shared" si="51"/>
        <v>0.60935217420984367</v>
      </c>
      <c r="G71" s="2"/>
      <c r="H71" s="7">
        <v>11554</v>
      </c>
      <c r="I71" s="2"/>
      <c r="J71" s="6">
        <f t="shared" si="52"/>
        <v>0.14077632403946413</v>
      </c>
      <c r="K71" s="2"/>
      <c r="L71" s="7">
        <f t="shared" si="53"/>
        <v>-396</v>
      </c>
      <c r="M71" s="2"/>
      <c r="N71" s="6">
        <f t="shared" si="54"/>
        <v>-3.4273844555997926E-2</v>
      </c>
      <c r="O71" s="11"/>
      <c r="P71" s="7">
        <v>77316</v>
      </c>
      <c r="Q71" s="2"/>
      <c r="R71" s="6">
        <f t="shared" si="55"/>
        <v>0.11309675852192033</v>
      </c>
      <c r="S71" s="2"/>
      <c r="T71" s="7">
        <v>80129</v>
      </c>
      <c r="U71" s="2"/>
      <c r="V71" s="6">
        <f t="shared" si="56"/>
        <v>0.28733055112035744</v>
      </c>
      <c r="W71" s="2"/>
      <c r="X71" s="7">
        <f t="shared" si="57"/>
        <v>-2813</v>
      </c>
      <c r="Y71" s="2"/>
      <c r="Z71" s="6">
        <f t="shared" si="58"/>
        <v>-3.5105891749553843E-2</v>
      </c>
    </row>
    <row r="72" spans="1:26" s="29" customFormat="1" outlineLevel="1" collapsed="1" x14ac:dyDescent="0.3">
      <c r="A72" s="28"/>
      <c r="B72" s="14" t="str">
        <f>CONCATENATE("     ","Rent                                              ")</f>
        <v xml:space="preserve">     Rent                                              </v>
      </c>
      <c r="C72" s="14"/>
      <c r="D72" s="1">
        <f>SUM(OSRRefD22_12x_0)</f>
        <v>1850</v>
      </c>
      <c r="E72" s="1"/>
      <c r="F72" s="5">
        <f t="shared" si="51"/>
        <v>0.10103078708444263</v>
      </c>
      <c r="G72" s="1"/>
      <c r="H72" s="1">
        <f>SUM(OSRRefH22_12x_0)</f>
        <v>0</v>
      </c>
      <c r="I72" s="1"/>
      <c r="J72" s="5">
        <f t="shared" si="52"/>
        <v>0</v>
      </c>
      <c r="K72" s="1"/>
      <c r="L72" s="1">
        <f t="shared" si="53"/>
        <v>1850</v>
      </c>
      <c r="M72" s="1"/>
      <c r="N72" s="5">
        <f t="shared" si="54"/>
        <v>0</v>
      </c>
      <c r="O72" s="14"/>
      <c r="P72" s="1">
        <f>SUM(OSRRefP22_12x_0)</f>
        <v>12950</v>
      </c>
      <c r="Q72" s="1"/>
      <c r="R72" s="5">
        <f t="shared" si="55"/>
        <v>1.8943078054463089E-2</v>
      </c>
      <c r="S72" s="1"/>
      <c r="T72" s="1">
        <f>SUM(OSRRefT22_12x_0)</f>
        <v>11100</v>
      </c>
      <c r="U72" s="1"/>
      <c r="V72" s="5">
        <f t="shared" si="56"/>
        <v>3.9802931740518008E-2</v>
      </c>
      <c r="W72" s="1"/>
      <c r="X72" s="1">
        <f t="shared" si="57"/>
        <v>1850</v>
      </c>
      <c r="Y72" s="1"/>
      <c r="Z72" s="5">
        <f t="shared" si="58"/>
        <v>0.16666666666666666</v>
      </c>
    </row>
    <row r="73" spans="1:26" s="24" customFormat="1" hidden="1" outlineLevel="2" x14ac:dyDescent="0.3">
      <c r="A73" s="27"/>
      <c r="B73" s="11" t="str">
        <f>CONCATENATE("          ", "6273", " - ", "RENT")</f>
        <v xml:space="preserve">          6273 - RENT</v>
      </c>
      <c r="C73" s="11"/>
      <c r="D73" s="7">
        <v>1850</v>
      </c>
      <c r="E73" s="2"/>
      <c r="F73" s="6">
        <f t="shared" si="51"/>
        <v>0.10103078708444263</v>
      </c>
      <c r="G73" s="2"/>
      <c r="H73" s="7"/>
      <c r="I73" s="2"/>
      <c r="J73" s="6">
        <f t="shared" si="52"/>
        <v>0</v>
      </c>
      <c r="K73" s="2"/>
      <c r="L73" s="7">
        <f t="shared" si="53"/>
        <v>1850</v>
      </c>
      <c r="M73" s="2"/>
      <c r="N73" s="6">
        <f t="shared" si="54"/>
        <v>0</v>
      </c>
      <c r="O73" s="11"/>
      <c r="P73" s="7">
        <v>12950</v>
      </c>
      <c r="Q73" s="2"/>
      <c r="R73" s="6">
        <f t="shared" si="55"/>
        <v>1.8943078054463089E-2</v>
      </c>
      <c r="S73" s="2"/>
      <c r="T73" s="7">
        <v>11100</v>
      </c>
      <c r="U73" s="2"/>
      <c r="V73" s="6">
        <f t="shared" si="56"/>
        <v>3.9802931740518008E-2</v>
      </c>
      <c r="W73" s="2"/>
      <c r="X73" s="7">
        <f t="shared" si="57"/>
        <v>1850</v>
      </c>
      <c r="Y73" s="2"/>
      <c r="Z73" s="6">
        <f t="shared" si="58"/>
        <v>0.16666666666666666</v>
      </c>
    </row>
    <row r="74" spans="1:26" s="29" customFormat="1" outlineLevel="1" collapsed="1" x14ac:dyDescent="0.3">
      <c r="A74" s="28"/>
      <c r="B74" s="14" t="str">
        <f>CONCATENATE("     ","Repair and Maintenance                            ")</f>
        <v xml:space="preserve">     Repair and Maintenance                            </v>
      </c>
      <c r="C74" s="14"/>
      <c r="D74" s="1">
        <f>SUM(OSRRefD22_13x_0)</f>
        <v>4635.3</v>
      </c>
      <c r="E74" s="1"/>
      <c r="F74" s="5">
        <f t="shared" si="51"/>
        <v>0.25313946344460375</v>
      </c>
      <c r="G74" s="1"/>
      <c r="H74" s="1">
        <f>SUM(OSRRefH22_13x_0)</f>
        <v>2909.21</v>
      </c>
      <c r="I74" s="1"/>
      <c r="J74" s="5">
        <f t="shared" si="52"/>
        <v>3.5446415930314133E-2</v>
      </c>
      <c r="K74" s="1"/>
      <c r="L74" s="1">
        <f t="shared" si="53"/>
        <v>1726.0900000000001</v>
      </c>
      <c r="M74" s="1"/>
      <c r="N74" s="5">
        <f t="shared" si="54"/>
        <v>0.59331914849735845</v>
      </c>
      <c r="O74" s="14"/>
      <c r="P74" s="1">
        <f>SUM(OSRRefP22_13x_0)</f>
        <v>60501.56</v>
      </c>
      <c r="Q74" s="1"/>
      <c r="R74" s="5">
        <f t="shared" si="55"/>
        <v>8.8500831930253418E-2</v>
      </c>
      <c r="S74" s="1"/>
      <c r="T74" s="1">
        <f>SUM(OSRRefT22_13x_0)</f>
        <v>25060.04</v>
      </c>
      <c r="U74" s="1"/>
      <c r="V74" s="5">
        <f t="shared" si="56"/>
        <v>8.9861537075193787E-2</v>
      </c>
      <c r="W74" s="1"/>
      <c r="X74" s="1">
        <f t="shared" si="57"/>
        <v>35441.519999999997</v>
      </c>
      <c r="Y74" s="1"/>
      <c r="Z74" s="5">
        <f t="shared" si="58"/>
        <v>1.4142643028502746</v>
      </c>
    </row>
    <row r="75" spans="1:26" s="24" customFormat="1" hidden="1" outlineLevel="2" x14ac:dyDescent="0.3">
      <c r="A75" s="27"/>
      <c r="B75" s="11" t="str">
        <f>CONCATENATE("          ", "6371", " - ", "COMPUTER SOFTWARE MAINTENANCE")</f>
        <v xml:space="preserve">          6371 - COMPUTER SOFTWARE MAINTENANCE</v>
      </c>
      <c r="C75" s="11"/>
      <c r="D75" s="7">
        <v>481.09</v>
      </c>
      <c r="E75" s="2"/>
      <c r="F75" s="6">
        <f t="shared" si="51"/>
        <v>2.6272919653218648E-2</v>
      </c>
      <c r="G75" s="2"/>
      <c r="H75" s="7"/>
      <c r="I75" s="2"/>
      <c r="J75" s="6">
        <f t="shared" si="52"/>
        <v>0</v>
      </c>
      <c r="K75" s="2"/>
      <c r="L75" s="7">
        <f t="shared" si="53"/>
        <v>481.09</v>
      </c>
      <c r="M75" s="2"/>
      <c r="N75" s="6">
        <f t="shared" si="54"/>
        <v>0</v>
      </c>
      <c r="O75" s="11"/>
      <c r="P75" s="7">
        <v>6817.17</v>
      </c>
      <c r="Q75" s="2"/>
      <c r="R75" s="6">
        <f t="shared" si="55"/>
        <v>9.9720604957949151E-3</v>
      </c>
      <c r="S75" s="2"/>
      <c r="T75" s="7"/>
      <c r="U75" s="2"/>
      <c r="V75" s="6">
        <f t="shared" si="56"/>
        <v>0</v>
      </c>
      <c r="W75" s="2"/>
      <c r="X75" s="7">
        <f t="shared" si="57"/>
        <v>6817.17</v>
      </c>
      <c r="Y75" s="2"/>
      <c r="Z75" s="6">
        <f t="shared" si="58"/>
        <v>0</v>
      </c>
    </row>
    <row r="76" spans="1:26" s="24" customFormat="1" hidden="1" outlineLevel="2" x14ac:dyDescent="0.3">
      <c r="A76" s="27"/>
      <c r="B76" s="11" t="str">
        <f>CONCATENATE("          ", "6373", " - ", "MAINTENANCE CONTRACTS")</f>
        <v xml:space="preserve">          6373 - MAINTENANCE CONTRACTS</v>
      </c>
      <c r="C76" s="11"/>
      <c r="D76" s="7">
        <v>2634.51</v>
      </c>
      <c r="E76" s="2"/>
      <c r="F76" s="6">
        <f t="shared" si="51"/>
        <v>0.14387384804423511</v>
      </c>
      <c r="G76" s="2"/>
      <c r="H76" s="7"/>
      <c r="I76" s="2"/>
      <c r="J76" s="6">
        <f t="shared" si="52"/>
        <v>0</v>
      </c>
      <c r="K76" s="2"/>
      <c r="L76" s="7">
        <f t="shared" si="53"/>
        <v>2634.51</v>
      </c>
      <c r="M76" s="2"/>
      <c r="N76" s="6">
        <f t="shared" si="54"/>
        <v>0</v>
      </c>
      <c r="O76" s="11"/>
      <c r="P76" s="7">
        <v>14558.14</v>
      </c>
      <c r="Q76" s="2"/>
      <c r="R76" s="6">
        <f t="shared" si="55"/>
        <v>2.1295442652339867E-2</v>
      </c>
      <c r="S76" s="2"/>
      <c r="T76" s="7">
        <v>11978.04</v>
      </c>
      <c r="U76" s="2"/>
      <c r="V76" s="6">
        <f t="shared" si="56"/>
        <v>4.2951451216684179E-2</v>
      </c>
      <c r="W76" s="2"/>
      <c r="X76" s="7">
        <f t="shared" si="57"/>
        <v>2580.0999999999985</v>
      </c>
      <c r="Y76" s="2"/>
      <c r="Z76" s="6">
        <f t="shared" si="58"/>
        <v>0.21540251994483223</v>
      </c>
    </row>
    <row r="77" spans="1:26" s="24" customFormat="1" hidden="1" outlineLevel="2" x14ac:dyDescent="0.3">
      <c r="A77" s="27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1519.7</v>
      </c>
      <c r="E77" s="2"/>
      <c r="F77" s="6">
        <f t="shared" si="51"/>
        <v>8.2992695747149972E-2</v>
      </c>
      <c r="G77" s="2"/>
      <c r="H77" s="7">
        <v>2909.21</v>
      </c>
      <c r="I77" s="2"/>
      <c r="J77" s="6">
        <f t="shared" si="52"/>
        <v>3.5446415930314133E-2</v>
      </c>
      <c r="K77" s="2"/>
      <c r="L77" s="7">
        <f t="shared" si="53"/>
        <v>-1389.51</v>
      </c>
      <c r="M77" s="2"/>
      <c r="N77" s="6">
        <f t="shared" si="54"/>
        <v>-0.47762450974663223</v>
      </c>
      <c r="O77" s="11"/>
      <c r="P77" s="7">
        <v>39126.25</v>
      </c>
      <c r="Q77" s="2"/>
      <c r="R77" s="6">
        <f t="shared" si="55"/>
        <v>5.7233328782118648E-2</v>
      </c>
      <c r="S77" s="2"/>
      <c r="T77" s="7">
        <v>13082</v>
      </c>
      <c r="U77" s="2"/>
      <c r="V77" s="6">
        <f t="shared" si="56"/>
        <v>4.6910085858509608E-2</v>
      </c>
      <c r="W77" s="2"/>
      <c r="X77" s="7">
        <f t="shared" si="57"/>
        <v>26044.25</v>
      </c>
      <c r="Y77" s="2"/>
      <c r="Z77" s="6">
        <f t="shared" si="58"/>
        <v>1.9908462008867145</v>
      </c>
    </row>
    <row r="78" spans="1:26" s="29" customFormat="1" outlineLevel="1" collapsed="1" x14ac:dyDescent="0.3">
      <c r="A78" s="28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4" si="59">IF(D$12=0,0,D78/D$12)</f>
        <v>0</v>
      </c>
      <c r="G78" s="1"/>
      <c r="H78" s="1">
        <f>SUM(OSRRefH22_14x_0)</f>
        <v>0</v>
      </c>
      <c r="I78" s="1"/>
      <c r="J78" s="5">
        <f t="shared" ref="J78:J84" si="60">IF(H$12=0,0,H78/H$12)</f>
        <v>0</v>
      </c>
      <c r="K78" s="1"/>
      <c r="L78" s="1">
        <f t="shared" ref="L78:L84" si="61">+D78-H78</f>
        <v>0</v>
      </c>
      <c r="M78" s="1"/>
      <c r="N78" s="5">
        <f t="shared" ref="N78:N84" si="62">IF(H78=0,0,L78/H78)</f>
        <v>0</v>
      </c>
      <c r="O78" s="14"/>
      <c r="P78" s="1">
        <f>SUM(OSRRefP22_14x_0)</f>
        <v>1844.91</v>
      </c>
      <c r="Q78" s="1"/>
      <c r="R78" s="5">
        <f t="shared" ref="R78:R84" si="63">IF(P$12=0,0,P78/P$12)</f>
        <v>2.6987084272941698E-3</v>
      </c>
      <c r="S78" s="1"/>
      <c r="T78" s="1">
        <f>SUM(OSRRefT22_14x_0)</f>
        <v>185.7</v>
      </c>
      <c r="U78" s="1"/>
      <c r="V78" s="5">
        <f t="shared" ref="V78:V84" si="64">IF(T$12=0,0,T78/T$12)</f>
        <v>6.6589229046974717E-4</v>
      </c>
      <c r="W78" s="1"/>
      <c r="X78" s="1">
        <f t="shared" ref="X78:X84" si="65">+P78-T78</f>
        <v>1659.21</v>
      </c>
      <c r="Y78" s="1"/>
      <c r="Z78" s="5">
        <f t="shared" ref="Z78:Z84" si="66">IF(T78=0,0,X78/T78)</f>
        <v>8.934894991922457</v>
      </c>
    </row>
    <row r="79" spans="1:26" s="24" customFormat="1" hidden="1" outlineLevel="2" x14ac:dyDescent="0.3">
      <c r="A79" s="27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59"/>
        <v>0</v>
      </c>
      <c r="G79" s="2"/>
      <c r="H79" s="7"/>
      <c r="I79" s="2"/>
      <c r="J79" s="6">
        <f t="shared" si="60"/>
        <v>0</v>
      </c>
      <c r="K79" s="2"/>
      <c r="L79" s="7">
        <f t="shared" si="61"/>
        <v>0</v>
      </c>
      <c r="M79" s="2"/>
      <c r="N79" s="6">
        <f t="shared" si="62"/>
        <v>0</v>
      </c>
      <c r="O79" s="11"/>
      <c r="P79" s="7">
        <v>1844.91</v>
      </c>
      <c r="Q79" s="2"/>
      <c r="R79" s="6">
        <f t="shared" si="63"/>
        <v>2.6987084272941698E-3</v>
      </c>
      <c r="S79" s="2"/>
      <c r="T79" s="7">
        <v>185.7</v>
      </c>
      <c r="U79" s="2"/>
      <c r="V79" s="6">
        <f t="shared" si="64"/>
        <v>6.6589229046974717E-4</v>
      </c>
      <c r="W79" s="2"/>
      <c r="X79" s="7">
        <f t="shared" si="65"/>
        <v>1659.21</v>
      </c>
      <c r="Y79" s="2"/>
      <c r="Z79" s="6">
        <f t="shared" si="66"/>
        <v>8.934894991922457</v>
      </c>
    </row>
    <row r="80" spans="1:26" s="29" customFormat="1" outlineLevel="1" collapsed="1" x14ac:dyDescent="0.3">
      <c r="A80" s="28"/>
      <c r="B80" s="14" t="str">
        <f>CONCATENATE("     ","Services                                          ")</f>
        <v xml:space="preserve">     Services                                          </v>
      </c>
      <c r="C80" s="14"/>
      <c r="D80" s="1">
        <f>SUM(OSRRefD22_15x_0)</f>
        <v>4481.2300000000005</v>
      </c>
      <c r="E80" s="1"/>
      <c r="F80" s="5">
        <f t="shared" si="59"/>
        <v>0.24472551027373884</v>
      </c>
      <c r="G80" s="1"/>
      <c r="H80" s="1">
        <f>SUM(OSRRefH22_15x_0)</f>
        <v>8369.75</v>
      </c>
      <c r="I80" s="1"/>
      <c r="J80" s="5">
        <f t="shared" si="60"/>
        <v>0.10197876390248442</v>
      </c>
      <c r="K80" s="1"/>
      <c r="L80" s="1">
        <f t="shared" si="61"/>
        <v>-3888.5199999999995</v>
      </c>
      <c r="M80" s="1"/>
      <c r="N80" s="5">
        <f t="shared" si="62"/>
        <v>-0.46459213238149283</v>
      </c>
      <c r="O80" s="14"/>
      <c r="P80" s="1">
        <f>SUM(OSRRefP22_15x_0)</f>
        <v>56201.229999999996</v>
      </c>
      <c r="Q80" s="1"/>
      <c r="R80" s="5">
        <f t="shared" si="63"/>
        <v>8.2210369625238033E-2</v>
      </c>
      <c r="S80" s="1"/>
      <c r="T80" s="1">
        <f>SUM(OSRRefT22_15x_0)</f>
        <v>45412.9</v>
      </c>
      <c r="U80" s="1"/>
      <c r="V80" s="5">
        <f t="shared" si="64"/>
        <v>0.16284383412963699</v>
      </c>
      <c r="W80" s="1"/>
      <c r="X80" s="1">
        <f t="shared" si="65"/>
        <v>10788.329999999994</v>
      </c>
      <c r="Y80" s="1"/>
      <c r="Z80" s="5">
        <f t="shared" si="66"/>
        <v>0.23756091330877338</v>
      </c>
    </row>
    <row r="81" spans="1:26" s="24" customFormat="1" hidden="1" outlineLevel="2" x14ac:dyDescent="0.3">
      <c r="A81" s="27"/>
      <c r="B81" s="11" t="str">
        <f>CONCATENATE("          ", "6282", " - ", "JANITORIAL/EXTERMINATOR EXPENS")</f>
        <v xml:space="preserve">          6282 - JANITORIAL/EXTERMINATOR EXPENS</v>
      </c>
      <c r="C81" s="11"/>
      <c r="D81" s="7">
        <v>821.95</v>
      </c>
      <c r="E81" s="2"/>
      <c r="F81" s="6">
        <f t="shared" si="59"/>
        <v>4.4887705645436551E-2</v>
      </c>
      <c r="G81" s="2"/>
      <c r="H81" s="7">
        <v>2711.75</v>
      </c>
      <c r="I81" s="2"/>
      <c r="J81" s="6">
        <f t="shared" si="60"/>
        <v>3.3040522478277386E-2</v>
      </c>
      <c r="K81" s="2"/>
      <c r="L81" s="7">
        <f t="shared" si="61"/>
        <v>-1889.8</v>
      </c>
      <c r="M81" s="2"/>
      <c r="N81" s="6">
        <f t="shared" si="62"/>
        <v>-0.69689315017977316</v>
      </c>
      <c r="O81" s="11"/>
      <c r="P81" s="7">
        <v>9325.2099999999991</v>
      </c>
      <c r="Q81" s="2"/>
      <c r="R81" s="6">
        <f t="shared" si="63"/>
        <v>1.3640786170213106E-2</v>
      </c>
      <c r="S81" s="2"/>
      <c r="T81" s="7">
        <v>7549.93</v>
      </c>
      <c r="U81" s="2"/>
      <c r="V81" s="6">
        <f t="shared" si="64"/>
        <v>2.7072914273485509E-2</v>
      </c>
      <c r="W81" s="2"/>
      <c r="X81" s="7">
        <f t="shared" si="65"/>
        <v>1775.2799999999988</v>
      </c>
      <c r="Y81" s="2"/>
      <c r="Z81" s="6">
        <f t="shared" si="66"/>
        <v>0.23513860393407604</v>
      </c>
    </row>
    <row r="82" spans="1:26" s="24" customFormat="1" hidden="1" outlineLevel="2" x14ac:dyDescent="0.3">
      <c r="A82" s="27"/>
      <c r="B82" s="11" t="str">
        <f>CONCATENATE("          ", "6284", " - ", "TRASH REMOVAL EXPENSE")</f>
        <v xml:space="preserve">          6284 - TRASH REMOVAL EXPENSE</v>
      </c>
      <c r="C82" s="11"/>
      <c r="D82" s="7"/>
      <c r="E82" s="2"/>
      <c r="F82" s="6">
        <f t="shared" si="59"/>
        <v>0</v>
      </c>
      <c r="G82" s="2"/>
      <c r="H82" s="7">
        <v>5658</v>
      </c>
      <c r="I82" s="2"/>
      <c r="J82" s="6">
        <f t="shared" si="60"/>
        <v>6.8938241424207042E-2</v>
      </c>
      <c r="K82" s="2"/>
      <c r="L82" s="7">
        <f t="shared" si="61"/>
        <v>-5658</v>
      </c>
      <c r="M82" s="2"/>
      <c r="N82" s="6">
        <f t="shared" si="62"/>
        <v>-1</v>
      </c>
      <c r="O82" s="11"/>
      <c r="P82" s="7"/>
      <c r="Q82" s="2"/>
      <c r="R82" s="6">
        <f t="shared" si="63"/>
        <v>0</v>
      </c>
      <c r="S82" s="2"/>
      <c r="T82" s="7">
        <v>25104</v>
      </c>
      <c r="U82" s="2"/>
      <c r="V82" s="6">
        <f t="shared" si="64"/>
        <v>9.0019171028285064E-2</v>
      </c>
      <c r="W82" s="2"/>
      <c r="X82" s="7">
        <f t="shared" si="65"/>
        <v>-25104</v>
      </c>
      <c r="Y82" s="2"/>
      <c r="Z82" s="6">
        <f t="shared" si="66"/>
        <v>-1</v>
      </c>
    </row>
    <row r="83" spans="1:26" s="24" customFormat="1" hidden="1" outlineLevel="2" x14ac:dyDescent="0.3">
      <c r="A83" s="27"/>
      <c r="B83" s="11" t="str">
        <f>CONCATENATE("          ", "6285", " - ", "JANITORIAL SERVICES")</f>
        <v xml:space="preserve">          6285 - JANITORIAL SERVICES</v>
      </c>
      <c r="C83" s="11"/>
      <c r="D83" s="7">
        <v>3385.52</v>
      </c>
      <c r="E83" s="2"/>
      <c r="F83" s="6">
        <f t="shared" si="59"/>
        <v>0.18488743258925525</v>
      </c>
      <c r="G83" s="2"/>
      <c r="H83" s="7">
        <v>0</v>
      </c>
      <c r="I83" s="2"/>
      <c r="J83" s="6">
        <f t="shared" si="60"/>
        <v>0</v>
      </c>
      <c r="K83" s="2"/>
      <c r="L83" s="7">
        <f t="shared" si="61"/>
        <v>3385.52</v>
      </c>
      <c r="M83" s="2"/>
      <c r="N83" s="6">
        <f t="shared" si="62"/>
        <v>0</v>
      </c>
      <c r="O83" s="11"/>
      <c r="P83" s="7">
        <v>43788.959999999999</v>
      </c>
      <c r="Q83" s="2"/>
      <c r="R83" s="6">
        <f t="shared" si="63"/>
        <v>6.405387545974997E-2</v>
      </c>
      <c r="S83" s="2"/>
      <c r="T83" s="7">
        <v>11966.21</v>
      </c>
      <c r="U83" s="2"/>
      <c r="V83" s="6">
        <f t="shared" si="64"/>
        <v>4.290903061465802E-2</v>
      </c>
      <c r="W83" s="2"/>
      <c r="X83" s="7">
        <f t="shared" si="65"/>
        <v>31822.75</v>
      </c>
      <c r="Y83" s="2"/>
      <c r="Z83" s="6">
        <f t="shared" si="66"/>
        <v>2.659384216055042</v>
      </c>
    </row>
    <row r="84" spans="1:26" s="24" customFormat="1" hidden="1" outlineLevel="2" x14ac:dyDescent="0.3">
      <c r="A84" s="27"/>
      <c r="B84" s="11" t="str">
        <f>CONCATENATE("          ", "6286", " - ", "LAUNDRY EXPENSE")</f>
        <v xml:space="preserve">          6286 - LAUNDRY EXPENSE</v>
      </c>
      <c r="C84" s="11"/>
      <c r="D84" s="7">
        <v>273.76</v>
      </c>
      <c r="E84" s="2"/>
      <c r="F84" s="6">
        <f t="shared" si="59"/>
        <v>1.4950372039047033E-2</v>
      </c>
      <c r="G84" s="2"/>
      <c r="H84" s="7"/>
      <c r="I84" s="2"/>
      <c r="J84" s="6">
        <f t="shared" si="60"/>
        <v>0</v>
      </c>
      <c r="K84" s="2"/>
      <c r="L84" s="7">
        <f t="shared" si="61"/>
        <v>273.76</v>
      </c>
      <c r="M84" s="2"/>
      <c r="N84" s="6">
        <f t="shared" si="62"/>
        <v>0</v>
      </c>
      <c r="O84" s="11"/>
      <c r="P84" s="7">
        <v>3087.06</v>
      </c>
      <c r="Q84" s="2"/>
      <c r="R84" s="6">
        <f t="shared" si="63"/>
        <v>4.5157079952749674E-3</v>
      </c>
      <c r="S84" s="2"/>
      <c r="T84" s="7">
        <v>792.76</v>
      </c>
      <c r="U84" s="2"/>
      <c r="V84" s="6">
        <f t="shared" si="64"/>
        <v>2.8427182132083834E-3</v>
      </c>
      <c r="W84" s="2"/>
      <c r="X84" s="7">
        <f t="shared" si="65"/>
        <v>2294.3000000000002</v>
      </c>
      <c r="Y84" s="2"/>
      <c r="Z84" s="6">
        <f t="shared" si="66"/>
        <v>2.8940663000151372</v>
      </c>
    </row>
    <row r="85" spans="1:26" s="29" customFormat="1" outlineLevel="1" collapsed="1" x14ac:dyDescent="0.3">
      <c r="A85" s="28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SUM(OSRRefD22_16x_0)</f>
        <v>560.5</v>
      </c>
      <c r="E85" s="1"/>
      <c r="F85" s="5">
        <f t="shared" ref="F85:F96" si="67">IF(D$12=0,0,D85/D$12)</f>
        <v>3.0609597924773021E-2</v>
      </c>
      <c r="G85" s="1"/>
      <c r="H85" s="1">
        <f>SUM(OSRRefH22_16x_0)</f>
        <v>0</v>
      </c>
      <c r="I85" s="1"/>
      <c r="J85" s="5">
        <f t="shared" ref="J85:J96" si="68">IF(H$12=0,0,H85/H$12)</f>
        <v>0</v>
      </c>
      <c r="K85" s="1"/>
      <c r="L85" s="1">
        <f t="shared" ref="L85:L96" si="69">+D85-H85</f>
        <v>560.5</v>
      </c>
      <c r="M85" s="1"/>
      <c r="N85" s="5">
        <f t="shared" ref="N85:N96" si="70">IF(H85=0,0,L85/H85)</f>
        <v>0</v>
      </c>
      <c r="O85" s="14"/>
      <c r="P85" s="1">
        <f>SUM(OSRRefP22_16x_0)</f>
        <v>4533.1099999999997</v>
      </c>
      <c r="Q85" s="1"/>
      <c r="R85" s="5">
        <f t="shared" ref="R85:R96" si="71">IF(P$12=0,0,P85/P$12)</f>
        <v>6.6309696184916733E-3</v>
      </c>
      <c r="S85" s="1"/>
      <c r="T85" s="1">
        <f>SUM(OSRRefT22_16x_0)</f>
        <v>534.16999999999996</v>
      </c>
      <c r="U85" s="1"/>
      <c r="V85" s="5">
        <f t="shared" ref="V85:V96" si="72">IF(T$12=0,0,T85/T$12)</f>
        <v>1.9154533376425679E-3</v>
      </c>
      <c r="W85" s="1"/>
      <c r="X85" s="1">
        <f t="shared" ref="X85:X96" si="73">+P85-T85</f>
        <v>3998.9399999999996</v>
      </c>
      <c r="Y85" s="1"/>
      <c r="Z85" s="5">
        <f t="shared" ref="Z85:Z96" si="74">IF(T85=0,0,X85/T85)</f>
        <v>7.4862684164217379</v>
      </c>
    </row>
    <row r="86" spans="1:26" s="24" customFormat="1" hidden="1" outlineLevel="2" x14ac:dyDescent="0.3">
      <c r="A86" s="27"/>
      <c r="B86" s="11" t="str">
        <f>CONCATENATE("          ", "6275", " - ", "SUBSCRIPTIONS")</f>
        <v xml:space="preserve">          6275 - SUBSCRIPTIONS</v>
      </c>
      <c r="C86" s="11"/>
      <c r="D86" s="7">
        <v>560.5</v>
      </c>
      <c r="E86" s="2"/>
      <c r="F86" s="6">
        <f t="shared" si="67"/>
        <v>3.0609597924773021E-2</v>
      </c>
      <c r="G86" s="2"/>
      <c r="H86" s="7"/>
      <c r="I86" s="2"/>
      <c r="J86" s="6">
        <f t="shared" si="68"/>
        <v>0</v>
      </c>
      <c r="K86" s="2"/>
      <c r="L86" s="7">
        <f t="shared" si="69"/>
        <v>560.5</v>
      </c>
      <c r="M86" s="2"/>
      <c r="N86" s="6">
        <f t="shared" si="70"/>
        <v>0</v>
      </c>
      <c r="O86" s="11"/>
      <c r="P86" s="7">
        <v>4533.1099999999997</v>
      </c>
      <c r="Q86" s="2"/>
      <c r="R86" s="6">
        <f t="shared" si="71"/>
        <v>6.6309696184916733E-3</v>
      </c>
      <c r="S86" s="2"/>
      <c r="T86" s="7">
        <v>534.16999999999996</v>
      </c>
      <c r="U86" s="2"/>
      <c r="V86" s="6">
        <f t="shared" si="72"/>
        <v>1.9154533376425679E-3</v>
      </c>
      <c r="W86" s="2"/>
      <c r="X86" s="7">
        <f t="shared" si="73"/>
        <v>3998.9399999999996</v>
      </c>
      <c r="Y86" s="2"/>
      <c r="Z86" s="6">
        <f t="shared" si="74"/>
        <v>7.4862684164217379</v>
      </c>
    </row>
    <row r="87" spans="1:26" s="29" customFormat="1" outlineLevel="1" collapsed="1" x14ac:dyDescent="0.3">
      <c r="A87" s="28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SUM(OSRRefD22_17x_0)</f>
        <v>2223.5</v>
      </c>
      <c r="E87" s="1"/>
      <c r="F87" s="5">
        <f t="shared" si="67"/>
        <v>0.12142808382824766</v>
      </c>
      <c r="G87" s="1"/>
      <c r="H87" s="1">
        <f>SUM(OSRRefH22_17x_0)</f>
        <v>116.72999999999999</v>
      </c>
      <c r="I87" s="1"/>
      <c r="J87" s="5">
        <f t="shared" si="68"/>
        <v>1.4222624463498916E-3</v>
      </c>
      <c r="K87" s="1"/>
      <c r="L87" s="1">
        <f t="shared" si="69"/>
        <v>2106.77</v>
      </c>
      <c r="M87" s="1"/>
      <c r="N87" s="5">
        <f t="shared" si="70"/>
        <v>18.048230960335818</v>
      </c>
      <c r="O87" s="14"/>
      <c r="P87" s="1">
        <f>SUM(OSRRefP22_17x_0)</f>
        <v>23573.899999999998</v>
      </c>
      <c r="Q87" s="1"/>
      <c r="R87" s="5">
        <f t="shared" si="71"/>
        <v>3.4483569710278564E-2</v>
      </c>
      <c r="S87" s="1"/>
      <c r="T87" s="1">
        <f>SUM(OSRRefT22_17x_0)</f>
        <v>-20335.5</v>
      </c>
      <c r="U87" s="1"/>
      <c r="V87" s="5">
        <f t="shared" si="72"/>
        <v>-7.2920046703540908E-2</v>
      </c>
      <c r="W87" s="1"/>
      <c r="X87" s="1">
        <f t="shared" si="73"/>
        <v>43909.399999999994</v>
      </c>
      <c r="Y87" s="1"/>
      <c r="Z87" s="5">
        <f t="shared" si="74"/>
        <v>-2.1592486046568804</v>
      </c>
    </row>
    <row r="88" spans="1:26" s="24" customFormat="1" hidden="1" outlineLevel="2" x14ac:dyDescent="0.3">
      <c r="A88" s="27"/>
      <c r="B88" s="11" t="str">
        <f>CONCATENATE("          ", "6234", " - ", "EXPENDABLE SUPPLIES &amp; EQUIPMEN")</f>
        <v xml:space="preserve">          6234 - EXPENDABLE SUPPLIES &amp; EQUIPMEN</v>
      </c>
      <c r="C88" s="11"/>
      <c r="D88" s="7">
        <v>57.77</v>
      </c>
      <c r="E88" s="2"/>
      <c r="F88" s="6">
        <f t="shared" si="67"/>
        <v>3.1548911188477029E-3</v>
      </c>
      <c r="G88" s="2"/>
      <c r="H88" s="7"/>
      <c r="I88" s="2"/>
      <c r="J88" s="6">
        <f t="shared" si="68"/>
        <v>0</v>
      </c>
      <c r="K88" s="2"/>
      <c r="L88" s="7">
        <f t="shared" si="69"/>
        <v>57.77</v>
      </c>
      <c r="M88" s="2"/>
      <c r="N88" s="6">
        <f t="shared" si="70"/>
        <v>0</v>
      </c>
      <c r="O88" s="11"/>
      <c r="P88" s="7">
        <v>1252.6600000000001</v>
      </c>
      <c r="Q88" s="2"/>
      <c r="R88" s="6">
        <f t="shared" si="71"/>
        <v>1.8323734483168908E-3</v>
      </c>
      <c r="S88" s="2"/>
      <c r="T88" s="7">
        <v>627.58000000000004</v>
      </c>
      <c r="U88" s="2"/>
      <c r="V88" s="6">
        <f t="shared" si="72"/>
        <v>2.2504075587129998E-3</v>
      </c>
      <c r="W88" s="2"/>
      <c r="X88" s="7">
        <f t="shared" si="73"/>
        <v>625.08000000000004</v>
      </c>
      <c r="Y88" s="2"/>
      <c r="Z88" s="6">
        <f t="shared" si="74"/>
        <v>0.99601644411867807</v>
      </c>
    </row>
    <row r="89" spans="1:26" s="24" customFormat="1" hidden="1" outlineLevel="2" x14ac:dyDescent="0.3">
      <c r="A89" s="27"/>
      <c r="B89" s="11" t="str">
        <f>CONCATENATE("          ", "6235", " - ", "COVID-19 EXPENSES")</f>
        <v xml:space="preserve">          6235 - COVID-19 EXPENSES</v>
      </c>
      <c r="C89" s="11"/>
      <c r="D89" s="7">
        <v>318.42</v>
      </c>
      <c r="E89" s="2"/>
      <c r="F89" s="6">
        <f t="shared" si="67"/>
        <v>1.7389309850501741E-2</v>
      </c>
      <c r="G89" s="2"/>
      <c r="H89" s="7"/>
      <c r="I89" s="2"/>
      <c r="J89" s="6">
        <f t="shared" si="68"/>
        <v>0</v>
      </c>
      <c r="K89" s="2"/>
      <c r="L89" s="7">
        <f t="shared" si="69"/>
        <v>318.42</v>
      </c>
      <c r="M89" s="2"/>
      <c r="N89" s="6">
        <f t="shared" si="70"/>
        <v>0</v>
      </c>
      <c r="O89" s="11"/>
      <c r="P89" s="7">
        <v>511.92</v>
      </c>
      <c r="Q89" s="2"/>
      <c r="R89" s="6">
        <f t="shared" si="71"/>
        <v>7.4882938360160199E-4</v>
      </c>
      <c r="S89" s="2"/>
      <c r="T89" s="7">
        <v>7089.13</v>
      </c>
      <c r="U89" s="2"/>
      <c r="V89" s="6">
        <f t="shared" si="72"/>
        <v>2.5420554728798058E-2</v>
      </c>
      <c r="W89" s="2"/>
      <c r="X89" s="7">
        <f t="shared" si="73"/>
        <v>-6577.21</v>
      </c>
      <c r="Y89" s="2"/>
      <c r="Z89" s="6">
        <f t="shared" si="74"/>
        <v>-0.92778803604955751</v>
      </c>
    </row>
    <row r="90" spans="1:26" s="24" customFormat="1" hidden="1" outlineLevel="2" x14ac:dyDescent="0.3">
      <c r="A90" s="27"/>
      <c r="B90" s="11" t="str">
        <f>CONCATENATE("          ", "6237", " - ", "JANITORIAL SUPPLIES")</f>
        <v xml:space="preserve">          6237 - JANITORIAL SUPPLIES</v>
      </c>
      <c r="C90" s="11"/>
      <c r="D90" s="7">
        <v>51.51</v>
      </c>
      <c r="E90" s="2"/>
      <c r="F90" s="6">
        <f t="shared" si="67"/>
        <v>2.8130247798484535E-3</v>
      </c>
      <c r="G90" s="2"/>
      <c r="H90" s="7"/>
      <c r="I90" s="2"/>
      <c r="J90" s="6">
        <f t="shared" si="68"/>
        <v>0</v>
      </c>
      <c r="K90" s="2"/>
      <c r="L90" s="7">
        <f t="shared" si="69"/>
        <v>51.51</v>
      </c>
      <c r="M90" s="2"/>
      <c r="N90" s="6">
        <f t="shared" si="70"/>
        <v>0</v>
      </c>
      <c r="O90" s="11"/>
      <c r="P90" s="7">
        <v>6502.84</v>
      </c>
      <c r="Q90" s="2"/>
      <c r="R90" s="6">
        <f t="shared" si="71"/>
        <v>9.5122629880837646E-3</v>
      </c>
      <c r="S90" s="2"/>
      <c r="T90" s="7">
        <v>676.48</v>
      </c>
      <c r="U90" s="2"/>
      <c r="V90" s="6">
        <f t="shared" si="72"/>
        <v>2.4257556093536599E-3</v>
      </c>
      <c r="W90" s="2"/>
      <c r="X90" s="7">
        <f t="shared" si="73"/>
        <v>5826.3600000000006</v>
      </c>
      <c r="Y90" s="2"/>
      <c r="Z90" s="6">
        <f t="shared" si="74"/>
        <v>8.6127601702932832</v>
      </c>
    </row>
    <row r="91" spans="1:26" s="24" customFormat="1" hidden="1" outlineLevel="2" x14ac:dyDescent="0.3">
      <c r="A91" s="27"/>
      <c r="B91" s="11" t="str">
        <f>CONCATENATE("          ", "6239", " - ", "KITCHEN SUPPLIES")</f>
        <v xml:space="preserve">          6239 - KITCHEN SUPPLIES</v>
      </c>
      <c r="C91" s="11"/>
      <c r="D91" s="7">
        <v>675.86</v>
      </c>
      <c r="E91" s="2"/>
      <c r="F91" s="6">
        <f t="shared" si="67"/>
        <v>3.6909550139941294E-2</v>
      </c>
      <c r="G91" s="2"/>
      <c r="H91" s="7"/>
      <c r="I91" s="2"/>
      <c r="J91" s="6">
        <f t="shared" si="68"/>
        <v>0</v>
      </c>
      <c r="K91" s="2"/>
      <c r="L91" s="7">
        <f t="shared" si="69"/>
        <v>675.86</v>
      </c>
      <c r="M91" s="2"/>
      <c r="N91" s="6">
        <f t="shared" si="70"/>
        <v>0</v>
      </c>
      <c r="O91" s="11"/>
      <c r="P91" s="7">
        <v>3531.64</v>
      </c>
      <c r="Q91" s="2"/>
      <c r="R91" s="6">
        <f t="shared" si="71"/>
        <v>5.1660333729933606E-3</v>
      </c>
      <c r="S91" s="2"/>
      <c r="T91" s="7">
        <v>19.829999999999998</v>
      </c>
      <c r="U91" s="2"/>
      <c r="V91" s="6">
        <f t="shared" si="72"/>
        <v>7.1107399676979469E-5</v>
      </c>
      <c r="W91" s="2"/>
      <c r="X91" s="7">
        <f t="shared" si="73"/>
        <v>3511.81</v>
      </c>
      <c r="Y91" s="2"/>
      <c r="Z91" s="6">
        <f t="shared" si="74"/>
        <v>177.09581442259204</v>
      </c>
    </row>
    <row r="92" spans="1:26" s="24" customFormat="1" hidden="1" outlineLevel="2" x14ac:dyDescent="0.3">
      <c r="A92" s="27"/>
      <c r="B92" s="11" t="str">
        <f>CONCATENATE("          ", "6241", " - ", "OFFICE EXPENSE")</f>
        <v xml:space="preserve">          6241 - OFFICE EXPENSE</v>
      </c>
      <c r="C92" s="11"/>
      <c r="D92" s="7">
        <v>441.26</v>
      </c>
      <c r="E92" s="2"/>
      <c r="F92" s="6">
        <f t="shared" si="67"/>
        <v>2.409775411290873E-2</v>
      </c>
      <c r="G92" s="2"/>
      <c r="H92" s="7">
        <v>51.24</v>
      </c>
      <c r="I92" s="2"/>
      <c r="J92" s="6">
        <f t="shared" si="68"/>
        <v>6.2431875054372017E-4</v>
      </c>
      <c r="K92" s="2"/>
      <c r="L92" s="7">
        <f t="shared" si="69"/>
        <v>390.02</v>
      </c>
      <c r="M92" s="2"/>
      <c r="N92" s="6">
        <f t="shared" si="70"/>
        <v>7.6116315378610455</v>
      </c>
      <c r="O92" s="11"/>
      <c r="P92" s="7">
        <v>7267.85</v>
      </c>
      <c r="Q92" s="2"/>
      <c r="R92" s="6">
        <f t="shared" si="71"/>
        <v>1.0631308867809233E-2</v>
      </c>
      <c r="S92" s="2"/>
      <c r="T92" s="7">
        <v>-28935.29</v>
      </c>
      <c r="U92" s="2"/>
      <c r="V92" s="6">
        <f t="shared" si="72"/>
        <v>-0.10375760114973814</v>
      </c>
      <c r="W92" s="2"/>
      <c r="X92" s="7">
        <f t="shared" si="73"/>
        <v>36203.14</v>
      </c>
      <c r="Y92" s="2"/>
      <c r="Z92" s="6">
        <f t="shared" si="74"/>
        <v>-1.2511759861401077</v>
      </c>
    </row>
    <row r="93" spans="1:26" s="24" customFormat="1" hidden="1" outlineLevel="2" x14ac:dyDescent="0.3">
      <c r="A93" s="27"/>
      <c r="B93" s="11" t="str">
        <f>CONCATENATE("          ", "6243", " - ", "PAPER SUPPLIES")</f>
        <v xml:space="preserve">          6243 - PAPER SUPPLIES</v>
      </c>
      <c r="C93" s="11"/>
      <c r="D93" s="7">
        <v>44.38</v>
      </c>
      <c r="E93" s="2"/>
      <c r="F93" s="6">
        <f t="shared" si="67"/>
        <v>2.4236466653013858E-3</v>
      </c>
      <c r="G93" s="2"/>
      <c r="H93" s="7">
        <v>65.489999999999995</v>
      </c>
      <c r="I93" s="2"/>
      <c r="J93" s="6">
        <f t="shared" si="68"/>
        <v>7.9794369580617154E-4</v>
      </c>
      <c r="K93" s="2"/>
      <c r="L93" s="7">
        <f t="shared" si="69"/>
        <v>-21.109999999999992</v>
      </c>
      <c r="M93" s="2"/>
      <c r="N93" s="6">
        <f t="shared" si="70"/>
        <v>-0.32233928844098325</v>
      </c>
      <c r="O93" s="11"/>
      <c r="P93" s="7">
        <v>1296.6400000000001</v>
      </c>
      <c r="Q93" s="2"/>
      <c r="R93" s="6">
        <f t="shared" si="71"/>
        <v>1.8967067744045578E-3</v>
      </c>
      <c r="S93" s="2"/>
      <c r="T93" s="7">
        <v>65.489999999999995</v>
      </c>
      <c r="U93" s="2"/>
      <c r="V93" s="6">
        <f t="shared" si="72"/>
        <v>2.3483729726905624E-4</v>
      </c>
      <c r="W93" s="2"/>
      <c r="X93" s="7">
        <f t="shared" si="73"/>
        <v>1231.1500000000001</v>
      </c>
      <c r="Y93" s="2"/>
      <c r="Z93" s="6">
        <f t="shared" si="74"/>
        <v>18.799053290578716</v>
      </c>
    </row>
    <row r="94" spans="1:26" s="24" customFormat="1" hidden="1" outlineLevel="2" x14ac:dyDescent="0.3">
      <c r="A94" s="27"/>
      <c r="B94" s="11" t="str">
        <f>CONCATENATE("          ", "6245", " - ", "PRINTING")</f>
        <v xml:space="preserve">          6245 - PRINTING</v>
      </c>
      <c r="C94" s="11"/>
      <c r="D94" s="7"/>
      <c r="E94" s="2"/>
      <c r="F94" s="6">
        <f t="shared" si="67"/>
        <v>0</v>
      </c>
      <c r="G94" s="2"/>
      <c r="H94" s="7"/>
      <c r="I94" s="2"/>
      <c r="J94" s="6">
        <f t="shared" si="68"/>
        <v>0</v>
      </c>
      <c r="K94" s="2"/>
      <c r="L94" s="7">
        <f t="shared" si="69"/>
        <v>0</v>
      </c>
      <c r="M94" s="2"/>
      <c r="N94" s="6">
        <f t="shared" si="70"/>
        <v>0</v>
      </c>
      <c r="O94" s="11"/>
      <c r="P94" s="7">
        <v>1071</v>
      </c>
      <c r="Q94" s="2"/>
      <c r="R94" s="6">
        <f t="shared" si="71"/>
        <v>1.5666437526123528E-3</v>
      </c>
      <c r="S94" s="2"/>
      <c r="T94" s="7"/>
      <c r="U94" s="2"/>
      <c r="V94" s="6">
        <f t="shared" si="72"/>
        <v>0</v>
      </c>
      <c r="W94" s="2"/>
      <c r="X94" s="7">
        <f t="shared" si="73"/>
        <v>1071</v>
      </c>
      <c r="Y94" s="2"/>
      <c r="Z94" s="6">
        <f t="shared" si="74"/>
        <v>0</v>
      </c>
    </row>
    <row r="95" spans="1:26" s="24" customFormat="1" hidden="1" outlineLevel="2" x14ac:dyDescent="0.3">
      <c r="A95" s="27"/>
      <c r="B95" s="11" t="str">
        <f>CONCATENATE("          ", "6247", " - ", "STORE SUPPLIES")</f>
        <v xml:space="preserve">          6247 - STORE SUPPLIES</v>
      </c>
      <c r="C95" s="11"/>
      <c r="D95" s="7">
        <v>285</v>
      </c>
      <c r="E95" s="2"/>
      <c r="F95" s="6">
        <f t="shared" si="67"/>
        <v>1.556420233463035E-2</v>
      </c>
      <c r="G95" s="2"/>
      <c r="H95" s="7"/>
      <c r="I95" s="2"/>
      <c r="J95" s="6">
        <f t="shared" si="68"/>
        <v>0</v>
      </c>
      <c r="K95" s="2"/>
      <c r="L95" s="7">
        <f t="shared" si="69"/>
        <v>285</v>
      </c>
      <c r="M95" s="2"/>
      <c r="N95" s="6">
        <f t="shared" si="70"/>
        <v>0</v>
      </c>
      <c r="O95" s="11"/>
      <c r="P95" s="7">
        <v>1537.1</v>
      </c>
      <c r="Q95" s="2"/>
      <c r="R95" s="6">
        <f t="shared" si="71"/>
        <v>2.2484482839780088E-3</v>
      </c>
      <c r="S95" s="2"/>
      <c r="T95" s="7">
        <v>121.28</v>
      </c>
      <c r="U95" s="2"/>
      <c r="V95" s="6">
        <f t="shared" si="72"/>
        <v>4.3489185238648867E-4</v>
      </c>
      <c r="W95" s="2"/>
      <c r="X95" s="7">
        <f t="shared" si="73"/>
        <v>1415.82</v>
      </c>
      <c r="Y95" s="2"/>
      <c r="Z95" s="6">
        <f t="shared" si="74"/>
        <v>11.673977572559366</v>
      </c>
    </row>
    <row r="96" spans="1:26" s="24" customFormat="1" hidden="1" outlineLevel="2" x14ac:dyDescent="0.3">
      <c r="A96" s="27"/>
      <c r="B96" s="11" t="str">
        <f>CONCATENATE("          ", "6248", " - ", "UNIFORMS")</f>
        <v xml:space="preserve">          6248 - UNIFORMS</v>
      </c>
      <c r="C96" s="11"/>
      <c r="D96" s="7">
        <v>349.3</v>
      </c>
      <c r="E96" s="2"/>
      <c r="F96" s="6">
        <f t="shared" si="67"/>
        <v>1.9075704826268004E-2</v>
      </c>
      <c r="G96" s="2"/>
      <c r="H96" s="7"/>
      <c r="I96" s="2"/>
      <c r="J96" s="6">
        <f t="shared" si="68"/>
        <v>0</v>
      </c>
      <c r="K96" s="2"/>
      <c r="L96" s="7">
        <f t="shared" si="69"/>
        <v>349.3</v>
      </c>
      <c r="M96" s="2"/>
      <c r="N96" s="6">
        <f t="shared" si="70"/>
        <v>0</v>
      </c>
      <c r="O96" s="11"/>
      <c r="P96" s="7">
        <v>602.25</v>
      </c>
      <c r="Q96" s="2"/>
      <c r="R96" s="6">
        <f t="shared" si="71"/>
        <v>8.8096283847879508E-4</v>
      </c>
      <c r="S96" s="2"/>
      <c r="T96" s="7"/>
      <c r="U96" s="2"/>
      <c r="V96" s="6">
        <f t="shared" si="72"/>
        <v>0</v>
      </c>
      <c r="W96" s="2"/>
      <c r="X96" s="7">
        <f t="shared" si="73"/>
        <v>602.25</v>
      </c>
      <c r="Y96" s="2"/>
      <c r="Z96" s="6">
        <f t="shared" si="74"/>
        <v>0</v>
      </c>
    </row>
    <row r="97" spans="1:26" s="29" customFormat="1" outlineLevel="1" collapsed="1" x14ac:dyDescent="0.3">
      <c r="A97" s="28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SUM(OSRRefD22_18x_0)</f>
        <v>577.15</v>
      </c>
      <c r="E97" s="1"/>
      <c r="F97" s="5">
        <f t="shared" ref="F97:F103" si="75">IF(D$12=0,0,D97/D$12)</f>
        <v>3.1518875008533002E-2</v>
      </c>
      <c r="G97" s="1"/>
      <c r="H97" s="1">
        <f>SUM(OSRRefH22_18x_0)</f>
        <v>573.5</v>
      </c>
      <c r="I97" s="1"/>
      <c r="J97" s="5">
        <f t="shared" ref="J97:J103" si="76">IF(H$12=0,0,H97/H$12)</f>
        <v>6.9876425338958534E-3</v>
      </c>
      <c r="K97" s="1"/>
      <c r="L97" s="1">
        <f t="shared" ref="L97:L103" si="77">+D97-H97</f>
        <v>3.6499999999999773</v>
      </c>
      <c r="M97" s="1"/>
      <c r="N97" s="5">
        <f t="shared" ref="N97:N103" si="78">IF(H97=0,0,L97/H97)</f>
        <v>6.3644289450740668E-3</v>
      </c>
      <c r="O97" s="14"/>
      <c r="P97" s="1">
        <f>SUM(OSRRefP22_18x_0)</f>
        <v>5376.59</v>
      </c>
      <c r="Q97" s="1"/>
      <c r="R97" s="5">
        <f t="shared" ref="R97:R103" si="79">IF(P$12=0,0,P97/P$12)</f>
        <v>7.8648003117255377E-3</v>
      </c>
      <c r="S97" s="1"/>
      <c r="T97" s="1">
        <f>SUM(OSRRefT22_18x_0)</f>
        <v>7885.06</v>
      </c>
      <c r="U97" s="1"/>
      <c r="V97" s="5">
        <f t="shared" ref="V97:V103" si="80">IF(T$12=0,0,T97/T$12)</f>
        <v>2.8274640085575582E-2</v>
      </c>
      <c r="W97" s="1"/>
      <c r="X97" s="1">
        <f t="shared" ref="X97:X103" si="81">+P97-T97</f>
        <v>-2508.4700000000003</v>
      </c>
      <c r="Y97" s="1"/>
      <c r="Z97" s="5">
        <f t="shared" ref="Z97:Z103" si="82">IF(T97=0,0,X97/T97)</f>
        <v>-0.31812947523544527</v>
      </c>
    </row>
    <row r="98" spans="1:26" s="24" customFormat="1" hidden="1" outlineLevel="2" x14ac:dyDescent="0.3">
      <c r="A98" s="27"/>
      <c r="B98" s="11" t="str">
        <f>CONCATENATE("          ", "6309", " - ", "TELEPHONE")</f>
        <v xml:space="preserve">          6309 - TELEPHONE</v>
      </c>
      <c r="C98" s="11"/>
      <c r="D98" s="7">
        <v>577.15</v>
      </c>
      <c r="E98" s="2"/>
      <c r="F98" s="6">
        <f t="shared" si="75"/>
        <v>3.1518875008533002E-2</v>
      </c>
      <c r="G98" s="2"/>
      <c r="H98" s="7">
        <v>573.5</v>
      </c>
      <c r="I98" s="2"/>
      <c r="J98" s="6">
        <f t="shared" si="76"/>
        <v>6.9876425338958534E-3</v>
      </c>
      <c r="K98" s="2"/>
      <c r="L98" s="7">
        <f t="shared" si="77"/>
        <v>3.6499999999999773</v>
      </c>
      <c r="M98" s="2"/>
      <c r="N98" s="6">
        <f t="shared" si="78"/>
        <v>6.3644289450740668E-3</v>
      </c>
      <c r="O98" s="11"/>
      <c r="P98" s="7">
        <v>5376.59</v>
      </c>
      <c r="Q98" s="2"/>
      <c r="R98" s="6">
        <f t="shared" si="79"/>
        <v>7.8648003117255377E-3</v>
      </c>
      <c r="S98" s="2"/>
      <c r="T98" s="7">
        <v>7885.06</v>
      </c>
      <c r="U98" s="2"/>
      <c r="V98" s="6">
        <f t="shared" si="80"/>
        <v>2.8274640085575582E-2</v>
      </c>
      <c r="W98" s="2"/>
      <c r="X98" s="7">
        <f t="shared" si="81"/>
        <v>-2508.4700000000003</v>
      </c>
      <c r="Y98" s="2"/>
      <c r="Z98" s="6">
        <f t="shared" si="82"/>
        <v>-0.31812947523544527</v>
      </c>
    </row>
    <row r="99" spans="1:26" s="29" customFormat="1" outlineLevel="1" collapsed="1" x14ac:dyDescent="0.3">
      <c r="A99" s="28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SUM(OSRRefD22_19x_0)</f>
        <v>0</v>
      </c>
      <c r="E99" s="1"/>
      <c r="F99" s="5">
        <f t="shared" si="75"/>
        <v>0</v>
      </c>
      <c r="G99" s="1"/>
      <c r="H99" s="1">
        <f>SUM(OSRRefH22_19x_0)</f>
        <v>0</v>
      </c>
      <c r="I99" s="1"/>
      <c r="J99" s="5">
        <f t="shared" si="76"/>
        <v>0</v>
      </c>
      <c r="K99" s="1"/>
      <c r="L99" s="1">
        <f t="shared" si="77"/>
        <v>0</v>
      </c>
      <c r="M99" s="1"/>
      <c r="N99" s="5">
        <f t="shared" si="78"/>
        <v>0</v>
      </c>
      <c r="O99" s="14"/>
      <c r="P99" s="1">
        <f>SUM(OSRRefP22_19x_0)</f>
        <v>0</v>
      </c>
      <c r="Q99" s="1"/>
      <c r="R99" s="5">
        <f t="shared" si="79"/>
        <v>0</v>
      </c>
      <c r="S99" s="1"/>
      <c r="T99" s="1">
        <f>SUM(OSRRefT22_19x_0)</f>
        <v>400</v>
      </c>
      <c r="U99" s="1"/>
      <c r="V99" s="5">
        <f t="shared" si="80"/>
        <v>1.4343398825411896E-3</v>
      </c>
      <c r="W99" s="1"/>
      <c r="X99" s="1">
        <f t="shared" si="81"/>
        <v>-400</v>
      </c>
      <c r="Y99" s="1"/>
      <c r="Z99" s="5">
        <f t="shared" si="82"/>
        <v>-1</v>
      </c>
    </row>
    <row r="100" spans="1:26" s="24" customFormat="1" hidden="1" outlineLevel="2" x14ac:dyDescent="0.3">
      <c r="A100" s="27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75"/>
        <v>0</v>
      </c>
      <c r="G100" s="2"/>
      <c r="H100" s="7"/>
      <c r="I100" s="2"/>
      <c r="J100" s="6">
        <f t="shared" si="76"/>
        <v>0</v>
      </c>
      <c r="K100" s="2"/>
      <c r="L100" s="7">
        <f t="shared" si="77"/>
        <v>0</v>
      </c>
      <c r="M100" s="2"/>
      <c r="N100" s="6">
        <f t="shared" si="78"/>
        <v>0</v>
      </c>
      <c r="O100" s="11"/>
      <c r="P100" s="7"/>
      <c r="Q100" s="2"/>
      <c r="R100" s="6">
        <f t="shared" si="79"/>
        <v>0</v>
      </c>
      <c r="S100" s="2"/>
      <c r="T100" s="7">
        <v>400</v>
      </c>
      <c r="U100" s="2"/>
      <c r="V100" s="6">
        <f t="shared" si="80"/>
        <v>1.4343398825411896E-3</v>
      </c>
      <c r="W100" s="2"/>
      <c r="X100" s="7">
        <f t="shared" si="81"/>
        <v>-400</v>
      </c>
      <c r="Y100" s="2"/>
      <c r="Z100" s="6">
        <f t="shared" si="82"/>
        <v>-1</v>
      </c>
    </row>
    <row r="101" spans="1:26" s="29" customFormat="1" outlineLevel="1" collapsed="1" x14ac:dyDescent="0.3">
      <c r="A101" s="28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SUM(OSRRefD22_20x_0)</f>
        <v>0</v>
      </c>
      <c r="E101" s="1"/>
      <c r="F101" s="5">
        <f t="shared" si="75"/>
        <v>0</v>
      </c>
      <c r="G101" s="1"/>
      <c r="H101" s="1">
        <f>SUM(OSRRefH22_20x_0)</f>
        <v>0</v>
      </c>
      <c r="I101" s="1"/>
      <c r="J101" s="5">
        <f t="shared" si="76"/>
        <v>0</v>
      </c>
      <c r="K101" s="1"/>
      <c r="L101" s="1">
        <f t="shared" si="77"/>
        <v>0</v>
      </c>
      <c r="M101" s="1"/>
      <c r="N101" s="5">
        <f t="shared" si="78"/>
        <v>0</v>
      </c>
      <c r="O101" s="14"/>
      <c r="P101" s="1">
        <f>SUM(OSRRefP22_20x_0)</f>
        <v>18.59</v>
      </c>
      <c r="Q101" s="1"/>
      <c r="R101" s="5">
        <f t="shared" si="79"/>
        <v>2.7193190813318056E-5</v>
      </c>
      <c r="S101" s="1"/>
      <c r="T101" s="1">
        <f>SUM(OSRRefT22_20x_0)</f>
        <v>332.21</v>
      </c>
      <c r="U101" s="1"/>
      <c r="V101" s="5">
        <f t="shared" si="80"/>
        <v>1.1912551309475215E-3</v>
      </c>
      <c r="W101" s="1"/>
      <c r="X101" s="1">
        <f t="shared" si="81"/>
        <v>-313.62</v>
      </c>
      <c r="Y101" s="1"/>
      <c r="Z101" s="5">
        <f t="shared" si="82"/>
        <v>-0.94404141958399812</v>
      </c>
    </row>
    <row r="102" spans="1:26" s="24" customFormat="1" hidden="1" outlineLevel="2" x14ac:dyDescent="0.3">
      <c r="A102" s="27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75"/>
        <v>0</v>
      </c>
      <c r="G102" s="2"/>
      <c r="H102" s="7"/>
      <c r="I102" s="2"/>
      <c r="J102" s="6">
        <f t="shared" si="76"/>
        <v>0</v>
      </c>
      <c r="K102" s="2"/>
      <c r="L102" s="7">
        <f t="shared" si="77"/>
        <v>0</v>
      </c>
      <c r="M102" s="2"/>
      <c r="N102" s="6">
        <f t="shared" si="78"/>
        <v>0</v>
      </c>
      <c r="O102" s="11"/>
      <c r="P102" s="7">
        <v>18.59</v>
      </c>
      <c r="Q102" s="2"/>
      <c r="R102" s="6">
        <f t="shared" si="79"/>
        <v>2.7193190813318056E-5</v>
      </c>
      <c r="S102" s="2"/>
      <c r="T102" s="7"/>
      <c r="U102" s="2"/>
      <c r="V102" s="6">
        <f t="shared" si="80"/>
        <v>0</v>
      </c>
      <c r="W102" s="2"/>
      <c r="X102" s="7">
        <f t="shared" si="81"/>
        <v>18.59</v>
      </c>
      <c r="Y102" s="2"/>
      <c r="Z102" s="6">
        <f t="shared" si="82"/>
        <v>0</v>
      </c>
    </row>
    <row r="103" spans="1:26" s="24" customFormat="1" hidden="1" outlineLevel="2" x14ac:dyDescent="0.3">
      <c r="A103" s="27"/>
      <c r="B103" s="11" t="str">
        <f>CONCATENATE("          ", "6298", " - ", "VEHICLE MILEAGE")</f>
        <v xml:space="preserve">          6298 - VEHICLE MILEAGE</v>
      </c>
      <c r="C103" s="11"/>
      <c r="D103" s="7"/>
      <c r="E103" s="2"/>
      <c r="F103" s="6">
        <f t="shared" si="75"/>
        <v>0</v>
      </c>
      <c r="G103" s="2"/>
      <c r="H103" s="7"/>
      <c r="I103" s="2"/>
      <c r="J103" s="6">
        <f t="shared" si="76"/>
        <v>0</v>
      </c>
      <c r="K103" s="2"/>
      <c r="L103" s="7">
        <f t="shared" si="77"/>
        <v>0</v>
      </c>
      <c r="M103" s="2"/>
      <c r="N103" s="6">
        <f t="shared" si="78"/>
        <v>0</v>
      </c>
      <c r="O103" s="11"/>
      <c r="P103" s="7"/>
      <c r="Q103" s="2"/>
      <c r="R103" s="6">
        <f t="shared" si="79"/>
        <v>0</v>
      </c>
      <c r="S103" s="2"/>
      <c r="T103" s="7">
        <v>332.21</v>
      </c>
      <c r="U103" s="2"/>
      <c r="V103" s="6">
        <f t="shared" si="80"/>
        <v>1.1912551309475215E-3</v>
      </c>
      <c r="W103" s="2"/>
      <c r="X103" s="7">
        <f t="shared" si="81"/>
        <v>-332.21</v>
      </c>
      <c r="Y103" s="2"/>
      <c r="Z103" s="6">
        <f t="shared" si="82"/>
        <v>-1</v>
      </c>
    </row>
    <row r="104" spans="1:26" s="29" customFormat="1" outlineLevel="1" collapsed="1" x14ac:dyDescent="0.3">
      <c r="A104" s="28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SUM(OSRRefD22_21x_0)</f>
        <v>8250</v>
      </c>
      <c r="E104" s="1"/>
      <c r="F104" s="5">
        <f t="shared" ref="F104:F105" si="83">IF(D$12=0,0,D104/D$12)</f>
        <v>0.45054269916035222</v>
      </c>
      <c r="G104" s="1"/>
      <c r="H104" s="1">
        <f>SUM(OSRRefH22_21x_0)</f>
        <v>4796</v>
      </c>
      <c r="I104" s="1"/>
      <c r="J104" s="5">
        <f t="shared" ref="J104:J105" si="84">IF(H$12=0,0,H104/H$12)</f>
        <v>5.8435455261664361E-2</v>
      </c>
      <c r="K104" s="1"/>
      <c r="L104" s="1">
        <f t="shared" ref="L104:L105" si="85">+D104-H104</f>
        <v>3454</v>
      </c>
      <c r="M104" s="1"/>
      <c r="N104" s="5">
        <f t="shared" ref="N104:N105" si="86">IF(H104=0,0,L104/H104)</f>
        <v>0.72018348623853212</v>
      </c>
      <c r="O104" s="14"/>
      <c r="P104" s="1">
        <f>SUM(OSRRefP22_21x_0)</f>
        <v>55350</v>
      </c>
      <c r="Q104" s="1"/>
      <c r="R104" s="5">
        <f t="shared" ref="R104:R105" si="87">IF(P$12=0,0,P104/P$12)</f>
        <v>8.0965202340890496E-2</v>
      </c>
      <c r="S104" s="1"/>
      <c r="T104" s="1">
        <f>SUM(OSRRefT22_21x_0)</f>
        <v>9346</v>
      </c>
      <c r="U104" s="1"/>
      <c r="V104" s="5">
        <f t="shared" ref="V104:V105" si="88">IF(T$12=0,0,T104/T$12)</f>
        <v>3.3513351355574893E-2</v>
      </c>
      <c r="W104" s="1"/>
      <c r="X104" s="1">
        <f t="shared" ref="X104:X105" si="89">+P104-T104</f>
        <v>46004</v>
      </c>
      <c r="Y104" s="1"/>
      <c r="Z104" s="5">
        <f t="shared" ref="Z104:Z105" si="90">IF(T104=0,0,X104/T104)</f>
        <v>4.9223197089664028</v>
      </c>
    </row>
    <row r="105" spans="1:26" s="24" customFormat="1" hidden="1" outlineLevel="2" x14ac:dyDescent="0.3">
      <c r="A105" s="27"/>
      <c r="B105" s="11" t="str">
        <f>CONCATENATE("          ", "6274", " - ", "UTILITIES")</f>
        <v xml:space="preserve">          6274 - UTILITIES</v>
      </c>
      <c r="C105" s="11"/>
      <c r="D105" s="7">
        <v>8250</v>
      </c>
      <c r="E105" s="2"/>
      <c r="F105" s="6">
        <f t="shared" si="83"/>
        <v>0.45054269916035222</v>
      </c>
      <c r="G105" s="2"/>
      <c r="H105" s="7">
        <v>4796</v>
      </c>
      <c r="I105" s="2"/>
      <c r="J105" s="6">
        <f t="shared" si="84"/>
        <v>5.8435455261664361E-2</v>
      </c>
      <c r="K105" s="2"/>
      <c r="L105" s="7">
        <f t="shared" si="85"/>
        <v>3454</v>
      </c>
      <c r="M105" s="2"/>
      <c r="N105" s="6">
        <f t="shared" si="86"/>
        <v>0.72018348623853212</v>
      </c>
      <c r="O105" s="11"/>
      <c r="P105" s="7">
        <v>55350</v>
      </c>
      <c r="Q105" s="2"/>
      <c r="R105" s="6">
        <f t="shared" si="87"/>
        <v>8.0965202340890496E-2</v>
      </c>
      <c r="S105" s="2"/>
      <c r="T105" s="7">
        <v>9346</v>
      </c>
      <c r="U105" s="2"/>
      <c r="V105" s="6">
        <f t="shared" si="88"/>
        <v>3.3513351355574893E-2</v>
      </c>
      <c r="W105" s="2"/>
      <c r="X105" s="7">
        <f t="shared" si="89"/>
        <v>46004</v>
      </c>
      <c r="Y105" s="2"/>
      <c r="Z105" s="6">
        <f t="shared" si="90"/>
        <v>4.9223197089664028</v>
      </c>
    </row>
    <row r="106" spans="1:26" s="52" customFormat="1" x14ac:dyDescent="0.3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3">
      <c r="A107" s="10"/>
      <c r="B107" s="26" t="s">
        <v>292</v>
      </c>
      <c r="C107" s="10"/>
      <c r="D107" s="4">
        <f>SUM(OSRRefD25x_0)</f>
        <v>6523.34</v>
      </c>
      <c r="E107" s="4"/>
      <c r="F107" s="12">
        <f t="shared" ref="F107:F110" si="91">IF(D$12=0,0,D107/D$12)</f>
        <v>0.35624766195644753</v>
      </c>
      <c r="G107" s="4"/>
      <c r="H107" s="4">
        <f>SUM(OSRRefH25x_0)</f>
        <v>976.87</v>
      </c>
      <c r="I107" s="4"/>
      <c r="J107" s="12">
        <f t="shared" ref="J107:J110" si="92">IF(H$12=0,0,H107/H$12)</f>
        <v>1.1902385984458313E-2</v>
      </c>
      <c r="K107" s="4"/>
      <c r="L107" s="4">
        <f t="shared" ref="L107:L110" si="93">+D107-H107</f>
        <v>5546.47</v>
      </c>
      <c r="M107" s="4"/>
      <c r="N107" s="12">
        <f t="shared" ref="N107:N110" si="94">IF(H107=0,0,L107/H107)</f>
        <v>5.6777974551373269</v>
      </c>
      <c r="O107" s="10"/>
      <c r="P107" s="4">
        <f>SUM(OSRRefP25x_0)</f>
        <v>141141.85</v>
      </c>
      <c r="Q107" s="4"/>
      <c r="R107" s="12">
        <f t="shared" ref="R107:R110" si="95">IF(P$12=0,0,P107/P$12)</f>
        <v>0.20646031515840318</v>
      </c>
      <c r="S107" s="4"/>
      <c r="T107" s="4">
        <f>SUM(OSRRefT25x_0)</f>
        <v>16348.34</v>
      </c>
      <c r="U107" s="4"/>
      <c r="V107" s="12">
        <f t="shared" ref="V107:V110" si="96">IF(T$12=0,0,T107/T$12)</f>
        <v>5.8622690188358577E-2</v>
      </c>
      <c r="W107" s="4"/>
      <c r="X107" s="4">
        <f t="shared" ref="X107:X110" si="97">+P107-T107</f>
        <v>124793.51000000001</v>
      </c>
      <c r="Y107" s="4"/>
      <c r="Z107" s="12">
        <f t="shared" ref="Z107:Z110" si="98">IF(T107=0,0,X107/T107)</f>
        <v>7.6334055934730989</v>
      </c>
    </row>
    <row r="108" spans="1:26" s="24" customFormat="1" hidden="1" outlineLevel="1" x14ac:dyDescent="0.3">
      <c r="A108" s="44"/>
      <c r="B108" s="11" t="str">
        <f>CONCATENATE("          ", "9150", " - ", "MISC. INCOME")</f>
        <v xml:space="preserve">          9150 - MISC. INCOME</v>
      </c>
      <c r="C108" s="11"/>
      <c r="D108" s="2">
        <f>--6523.34</f>
        <v>6523.34</v>
      </c>
      <c r="E108" s="2"/>
      <c r="F108" s="19">
        <f t="shared" si="91"/>
        <v>0.35624766195644753</v>
      </c>
      <c r="G108" s="2"/>
      <c r="H108" s="2">
        <f>0</f>
        <v>0</v>
      </c>
      <c r="I108" s="2"/>
      <c r="J108" s="19">
        <f t="shared" si="92"/>
        <v>0</v>
      </c>
      <c r="K108" s="2"/>
      <c r="L108" s="2">
        <f t="shared" si="93"/>
        <v>6523.34</v>
      </c>
      <c r="M108" s="2"/>
      <c r="N108" s="19">
        <f t="shared" si="94"/>
        <v>0</v>
      </c>
      <c r="O108" s="11"/>
      <c r="P108" s="2">
        <f>--141141.85</f>
        <v>141141.85</v>
      </c>
      <c r="Q108" s="2"/>
      <c r="R108" s="19">
        <f t="shared" si="95"/>
        <v>0.20646031515840318</v>
      </c>
      <c r="S108" s="2"/>
      <c r="T108" s="2">
        <f>--1728.05</f>
        <v>1728.05</v>
      </c>
      <c r="U108" s="2"/>
      <c r="V108" s="19">
        <f t="shared" si="96"/>
        <v>6.1965275850632568E-3</v>
      </c>
      <c r="W108" s="2"/>
      <c r="X108" s="2">
        <f t="shared" si="97"/>
        <v>139413.80000000002</v>
      </c>
      <c r="Y108" s="2"/>
      <c r="Z108" s="19">
        <f t="shared" si="98"/>
        <v>80.676948004976722</v>
      </c>
    </row>
    <row r="109" spans="1:26" s="24" customFormat="1" hidden="1" outlineLevel="1" x14ac:dyDescent="0.3">
      <c r="A109" s="44"/>
      <c r="B109" s="11" t="str">
        <f>CONCATENATE("          ", "9160", " - ", "MISC. INCOME")</f>
        <v xml:space="preserve">          9160 - MISC. INCOME</v>
      </c>
      <c r="C109" s="11"/>
      <c r="D109" s="2">
        <f t="shared" ref="D109:D110" si="99">0</f>
        <v>0</v>
      </c>
      <c r="E109" s="2"/>
      <c r="F109" s="19">
        <f t="shared" si="91"/>
        <v>0</v>
      </c>
      <c r="G109" s="2"/>
      <c r="H109" s="2">
        <f>--189.92</f>
        <v>189.92</v>
      </c>
      <c r="I109" s="2"/>
      <c r="J109" s="19">
        <f t="shared" si="92"/>
        <v>2.3140245336312126E-3</v>
      </c>
      <c r="K109" s="2"/>
      <c r="L109" s="2">
        <f t="shared" si="93"/>
        <v>-189.92</v>
      </c>
      <c r="M109" s="2"/>
      <c r="N109" s="19">
        <f t="shared" si="94"/>
        <v>-1</v>
      </c>
      <c r="O109" s="11"/>
      <c r="P109" s="2">
        <f t="shared" ref="P109:P110" si="100">0</f>
        <v>0</v>
      </c>
      <c r="Q109" s="2"/>
      <c r="R109" s="19">
        <f t="shared" si="95"/>
        <v>0</v>
      </c>
      <c r="S109" s="2"/>
      <c r="T109" s="2">
        <f>--12518.17</f>
        <v>12518.17</v>
      </c>
      <c r="U109" s="2"/>
      <c r="V109" s="19">
        <f t="shared" si="96"/>
        <v>4.4888276218576606E-2</v>
      </c>
      <c r="W109" s="2"/>
      <c r="X109" s="2">
        <f t="shared" si="97"/>
        <v>-12518.17</v>
      </c>
      <c r="Y109" s="2"/>
      <c r="Z109" s="19">
        <f t="shared" si="98"/>
        <v>-1</v>
      </c>
    </row>
    <row r="110" spans="1:26" s="24" customFormat="1" hidden="1" outlineLevel="1" x14ac:dyDescent="0.3">
      <c r="A110" s="44"/>
      <c r="B110" s="11" t="str">
        <f>CONCATENATE("          ", "9165", " - ", "OTHER INCOME")</f>
        <v xml:space="preserve">          9165 - OTHER INCOME</v>
      </c>
      <c r="C110" s="11"/>
      <c r="D110" s="2">
        <f t="shared" si="99"/>
        <v>0</v>
      </c>
      <c r="E110" s="2"/>
      <c r="F110" s="19">
        <f t="shared" si="91"/>
        <v>0</v>
      </c>
      <c r="G110" s="2"/>
      <c r="H110" s="2">
        <f>--786.95</f>
        <v>786.95</v>
      </c>
      <c r="I110" s="2"/>
      <c r="J110" s="19">
        <f t="shared" si="92"/>
        <v>9.5883614508270997E-3</v>
      </c>
      <c r="K110" s="2"/>
      <c r="L110" s="2">
        <f t="shared" si="93"/>
        <v>-786.95</v>
      </c>
      <c r="M110" s="2"/>
      <c r="N110" s="19">
        <f t="shared" si="94"/>
        <v>-1</v>
      </c>
      <c r="O110" s="11"/>
      <c r="P110" s="2">
        <f t="shared" si="100"/>
        <v>0</v>
      </c>
      <c r="Q110" s="2"/>
      <c r="R110" s="19">
        <f t="shared" si="95"/>
        <v>0</v>
      </c>
      <c r="S110" s="2"/>
      <c r="T110" s="2">
        <f>--2102.12</f>
        <v>2102.12</v>
      </c>
      <c r="U110" s="2"/>
      <c r="V110" s="19">
        <f t="shared" si="96"/>
        <v>7.5378863847187132E-3</v>
      </c>
      <c r="W110" s="2"/>
      <c r="X110" s="2">
        <f t="shared" si="97"/>
        <v>-2102.12</v>
      </c>
      <c r="Y110" s="2"/>
      <c r="Z110" s="19">
        <f t="shared" si="98"/>
        <v>-1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10"/>
      <c r="B112" s="25" t="s">
        <v>276</v>
      </c>
      <c r="C112" s="25"/>
      <c r="D112" s="21">
        <f>+D31-D33+D107</f>
        <v>-188373.34000000003</v>
      </c>
      <c r="E112" s="13"/>
      <c r="F112" s="22">
        <f>IF(D$12=0,0,D112/D$12)</f>
        <v>-10.28730097617585</v>
      </c>
      <c r="G112" s="13"/>
      <c r="H112" s="21">
        <f>+H31-H33+H107</f>
        <v>-45871.46</v>
      </c>
      <c r="I112" s="13"/>
      <c r="J112" s="22">
        <f>IF(H$12=0,0,H112/H$12)</f>
        <v>-0.55890734958657762</v>
      </c>
      <c r="K112" s="15"/>
      <c r="L112" s="21">
        <f>+D112-H112</f>
        <v>-142501.88000000003</v>
      </c>
      <c r="M112" s="15"/>
      <c r="N112" s="22">
        <f>IF(H112=0,0,L112/H112)</f>
        <v>3.1065477314216734</v>
      </c>
      <c r="O112" s="26"/>
      <c r="P112" s="21">
        <f>+P31-P33+P107</f>
        <v>-860512.02999999991</v>
      </c>
      <c r="Q112" s="13"/>
      <c r="R112" s="22">
        <f>IF(P$12=0,0,P112/P$12)</f>
        <v>-1.2587449074204233</v>
      </c>
      <c r="S112" s="13"/>
      <c r="T112" s="21">
        <f>+T31-T33+T107</f>
        <v>-708539.08000000019</v>
      </c>
      <c r="U112" s="13"/>
      <c r="V112" s="22">
        <f>IF(T$12=0,0,T112/T$12)</f>
        <v>-2.5407146519576069</v>
      </c>
      <c r="W112" s="15"/>
      <c r="X112" s="21">
        <f>+P112-T112</f>
        <v>-151972.94999999972</v>
      </c>
      <c r="Y112" s="15"/>
      <c r="Z112" s="22">
        <f>IF(T112=0,0,X112/T112)</f>
        <v>0.21448774568651835</v>
      </c>
    </row>
    <row r="113" spans="1:26" x14ac:dyDescent="0.3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3">
      <c r="A114" s="51"/>
      <c r="B114" s="10" t="s">
        <v>127</v>
      </c>
      <c r="C114" s="10"/>
      <c r="D114" s="4">
        <v>10405.32</v>
      </c>
      <c r="E114" s="4"/>
      <c r="F114" s="12">
        <f>IF(D$12=0,0,D114/D$12)</f>
        <v>0.56824738890026616</v>
      </c>
      <c r="G114" s="4"/>
      <c r="H114" s="4">
        <v>14210.76</v>
      </c>
      <c r="I114" s="4"/>
      <c r="J114" s="12">
        <f>IF(H$12=0,0,H114/H$12)</f>
        <v>0.17314683699212874</v>
      </c>
      <c r="K114" s="4"/>
      <c r="L114" s="4">
        <f>+D114-H114</f>
        <v>-3805.4400000000005</v>
      </c>
      <c r="M114" s="4"/>
      <c r="N114" s="12">
        <f>IF(H114=0,0,L114/H114)</f>
        <v>-0.26778581863320472</v>
      </c>
      <c r="O114" s="10"/>
      <c r="P114" s="4">
        <v>90489.93</v>
      </c>
      <c r="Q114" s="4"/>
      <c r="R114" s="12">
        <f>IF(P$12=0,0,P114/P$12)</f>
        <v>0.13236739823420085</v>
      </c>
      <c r="S114" s="4"/>
      <c r="T114" s="4">
        <v>50623.01</v>
      </c>
      <c r="U114" s="4"/>
      <c r="V114" s="12">
        <f>IF(T$12=0,0,T114/T$12)</f>
        <v>0.18152650554320368</v>
      </c>
      <c r="W114" s="4"/>
      <c r="X114" s="4">
        <f>+P114-T114</f>
        <v>39866.919999999991</v>
      </c>
      <c r="Y114" s="4"/>
      <c r="Z114" s="12">
        <f>IF(T114=0,0,X114/T114)</f>
        <v>0.78752567261409367</v>
      </c>
    </row>
    <row r="115" spans="1:26" x14ac:dyDescent="0.3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" thickBot="1" x14ac:dyDescent="0.35">
      <c r="A116" s="10"/>
      <c r="B116" s="25" t="s">
        <v>125</v>
      </c>
      <c r="C116" s="25"/>
      <c r="D116" s="36">
        <f>+D112-D114</f>
        <v>-198778.66000000003</v>
      </c>
      <c r="E116" s="13"/>
      <c r="F116" s="31">
        <f>IF(D$12=0,0,D116/D$12)</f>
        <v>-10.855548365076116</v>
      </c>
      <c r="G116" s="13"/>
      <c r="H116" s="36">
        <f>+H112-H114</f>
        <v>-60082.22</v>
      </c>
      <c r="I116" s="13"/>
      <c r="J116" s="31">
        <f>IF(H$12=0,0,H116/H$12)</f>
        <v>-0.73205418657870636</v>
      </c>
      <c r="K116" s="15"/>
      <c r="L116" s="36">
        <f>D116-H116</f>
        <v>-138696.44000000003</v>
      </c>
      <c r="M116" s="15"/>
      <c r="N116" s="31">
        <f>IF(H116=0,0,L116/H116)</f>
        <v>2.30844399557806</v>
      </c>
      <c r="O116" s="26"/>
      <c r="P116" s="36">
        <f>+P112-P114</f>
        <v>-951001.96</v>
      </c>
      <c r="Q116" s="13"/>
      <c r="R116" s="31">
        <f>IF(P$12=0,0,P116/P$12)</f>
        <v>-1.3911123056546242</v>
      </c>
      <c r="S116" s="13"/>
      <c r="T116" s="36">
        <f>+T112-T114</f>
        <v>-759162.0900000002</v>
      </c>
      <c r="U116" s="13"/>
      <c r="V116" s="31">
        <f>IF(T$12=0,0,T116/T$12)</f>
        <v>-2.7222411575008105</v>
      </c>
      <c r="W116" s="15"/>
      <c r="X116" s="36">
        <f>P116-T116</f>
        <v>-191839.86999999976</v>
      </c>
      <c r="Y116" s="15"/>
      <c r="Z116" s="31">
        <f>IF(T116=0,0,X116/T116)</f>
        <v>0.25269948608735154</v>
      </c>
    </row>
    <row r="117" spans="1:26" ht="15" thickTop="1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5" t="s">
        <v>293</v>
      </c>
      <c r="C119" s="25"/>
      <c r="D119" s="35">
        <f>SUM(D116:D118)</f>
        <v>-198778.66000000003</v>
      </c>
      <c r="E119" s="13"/>
      <c r="F119" s="32">
        <f>IF(D$12=0,0,D119/D$12)</f>
        <v>-10.855548365076116</v>
      </c>
      <c r="G119" s="13"/>
      <c r="H119" s="35">
        <f>SUM(H116:H118)</f>
        <v>-60082.22</v>
      </c>
      <c r="I119" s="13"/>
      <c r="J119" s="32">
        <f>IF(H$12=0,0,H119/H$12)</f>
        <v>-0.73205418657870636</v>
      </c>
      <c r="K119" s="15"/>
      <c r="L119" s="35">
        <f>+D119-H119</f>
        <v>-138696.44000000003</v>
      </c>
      <c r="M119" s="15"/>
      <c r="N119" s="32">
        <f>IF(H119=0,0,L119/H119)</f>
        <v>2.30844399557806</v>
      </c>
      <c r="O119" s="26"/>
      <c r="P119" s="35">
        <f>SUM(P116:P118)</f>
        <v>-951001.96</v>
      </c>
      <c r="Q119" s="13"/>
      <c r="R119" s="32">
        <f>IF(P$12=0,0,P119/P$12)</f>
        <v>-1.3911123056546242</v>
      </c>
      <c r="S119" s="13"/>
      <c r="T119" s="35">
        <f>SUM(T116:T118)</f>
        <v>-759162.0900000002</v>
      </c>
      <c r="U119" s="13"/>
      <c r="V119" s="32">
        <f>IF(T$12=0,0,T119/T$12)</f>
        <v>-2.7222411575008105</v>
      </c>
      <c r="W119" s="15"/>
      <c r="X119" s="35">
        <f>+P119-T119</f>
        <v>-191839.86999999976</v>
      </c>
      <c r="Y119" s="15"/>
      <c r="Z119" s="32">
        <f>IF(T119=0,0,X119/T119)</f>
        <v>0.25269948608735154</v>
      </c>
    </row>
    <row r="120" spans="1:26" ht="15" thickTop="1" x14ac:dyDescent="0.3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4">
        <v>44604.028420868053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53" t="s">
        <v>56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A123" s="9"/>
      <c r="B123" s="5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13477.79</v>
      </c>
      <c r="E12" s="4"/>
      <c r="F12" s="12"/>
      <c r="G12" s="4"/>
      <c r="H12" s="4">
        <f>SUM(OSRRefH13x_0)</f>
        <v>82073.460000000006</v>
      </c>
      <c r="I12" s="4"/>
      <c r="J12" s="12"/>
      <c r="K12" s="4"/>
      <c r="L12" s="4">
        <f t="shared" ref="L12:L17" si="0">+D12-H12</f>
        <v>-68595.670000000013</v>
      </c>
      <c r="M12" s="4"/>
      <c r="N12" s="12">
        <f t="shared" ref="N12:N17" si="1">IF(H12=0,0,L12/H12)</f>
        <v>-0.83578382098183757</v>
      </c>
      <c r="O12" s="10"/>
      <c r="P12" s="4">
        <f>SUM(OSRRefP13x_0)</f>
        <v>602386.05999999994</v>
      </c>
      <c r="Q12" s="4"/>
      <c r="R12" s="12"/>
      <c r="S12" s="4"/>
      <c r="T12" s="4">
        <f>SUM(OSRRefT13x_0)</f>
        <v>276287.46000000002</v>
      </c>
      <c r="U12" s="4"/>
      <c r="V12" s="12"/>
      <c r="W12" s="4"/>
      <c r="X12" s="4">
        <f t="shared" ref="X12:X17" si="2">+P12-T12</f>
        <v>326098.59999999992</v>
      </c>
      <c r="Y12" s="4"/>
      <c r="Z12" s="12">
        <f t="shared" ref="Z12:Z17" si="3">IF(T12=0,0,X12/T12)</f>
        <v>1.1802873717106086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--2376.57</f>
        <v>2376.5700000000002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2376.5700000000002</v>
      </c>
      <c r="M13" s="2"/>
      <c r="N13" s="19">
        <f t="shared" si="1"/>
        <v>0</v>
      </c>
      <c r="O13" s="11"/>
      <c r="P13" s="2">
        <f>--149359.36</f>
        <v>149359.35999999999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126394.87999999999</v>
      </c>
      <c r="Y13" s="2"/>
      <c r="Z13" s="19">
        <f t="shared" si="3"/>
        <v>5.5039295468480018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--82073.46</f>
        <v>82073.460000000006</v>
      </c>
      <c r="I14" s="2"/>
      <c r="J14" s="19"/>
      <c r="K14" s="2"/>
      <c r="L14" s="2">
        <f t="shared" si="0"/>
        <v>-82073.460000000006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--230176.85</f>
        <v>230176.85</v>
      </c>
      <c r="U14" s="2"/>
      <c r="V14" s="19"/>
      <c r="W14" s="2"/>
      <c r="X14" s="2">
        <f t="shared" si="2"/>
        <v>-230176.85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--1412.89</f>
        <v>1412.89</v>
      </c>
      <c r="E15" s="2"/>
      <c r="F15" s="19"/>
      <c r="G15" s="2"/>
      <c r="H15" s="2">
        <f t="shared" ref="H15:H17" si="4">0</f>
        <v>0</v>
      </c>
      <c r="I15" s="2"/>
      <c r="J15" s="19"/>
      <c r="K15" s="2"/>
      <c r="L15" s="2">
        <f t="shared" si="0"/>
        <v>1412.89</v>
      </c>
      <c r="M15" s="2"/>
      <c r="N15" s="19">
        <f t="shared" si="1"/>
        <v>0</v>
      </c>
      <c r="O15" s="11"/>
      <c r="P15" s="2">
        <f>--8792.47</f>
        <v>8792.4699999999993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8792.4699999999993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--9688.33</f>
        <v>9688.33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9688.33</v>
      </c>
      <c r="M17" s="2"/>
      <c r="N17" s="19">
        <f t="shared" si="1"/>
        <v>0</v>
      </c>
      <c r="O17" s="11"/>
      <c r="P17" s="2">
        <f>--444234.23</f>
        <v>444234.23</v>
      </c>
      <c r="Q17" s="2"/>
      <c r="R17" s="19"/>
      <c r="S17" s="2"/>
      <c r="T17" s="2">
        <f>--22171.22</f>
        <v>22171.22</v>
      </c>
      <c r="U17" s="2"/>
      <c r="V17" s="19"/>
      <c r="W17" s="2"/>
      <c r="X17" s="2">
        <f t="shared" si="2"/>
        <v>422063.01</v>
      </c>
      <c r="Y17" s="2"/>
      <c r="Z17" s="19">
        <f t="shared" si="3"/>
        <v>19.03652618123856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6" t="s">
        <v>256</v>
      </c>
      <c r="C19" s="10"/>
      <c r="D19" s="4">
        <f>SUM(OSRRefD16x_0)</f>
        <v>8748.619999999999</v>
      </c>
      <c r="E19" s="4"/>
      <c r="F19" s="12">
        <f t="shared" ref="F19:F21" si="5">IF(D$12=0,0,D19/D$12)</f>
        <v>0.64911383839635417</v>
      </c>
      <c r="G19" s="4"/>
      <c r="H19" s="4">
        <f>SUM(OSRRefH16x_0)</f>
        <v>1319.87</v>
      </c>
      <c r="I19" s="4"/>
      <c r="J19" s="12">
        <f t="shared" ref="J19:J21" si="6">IF(H$12=0,0,H19/H$12)</f>
        <v>1.6081568877442231E-2</v>
      </c>
      <c r="K19" s="4"/>
      <c r="L19" s="4">
        <f t="shared" ref="L19:L21" si="7">+D19-H19</f>
        <v>7428.7499999999991</v>
      </c>
      <c r="M19" s="4"/>
      <c r="N19" s="12">
        <f t="shared" ref="N19:N21" si="8">IF(H19=0,0,L19/H19)</f>
        <v>5.6283952207414361</v>
      </c>
      <c r="O19" s="10"/>
      <c r="P19" s="4">
        <f>SUM(OSRRefP16x_0)</f>
        <v>242387.71</v>
      </c>
      <c r="Q19" s="4"/>
      <c r="R19" s="12">
        <f t="shared" ref="R19:R21" si="9">IF(P$12=0,0,P19/P$12)</f>
        <v>0.40237934788862811</v>
      </c>
      <c r="S19" s="4"/>
      <c r="T19" s="4">
        <f>SUM(OSRRefT16x_0)</f>
        <v>20173.349999999999</v>
      </c>
      <c r="U19" s="4"/>
      <c r="V19" s="12">
        <f t="shared" ref="V19:V21" si="10">IF(T$12=0,0,T19/T$12)</f>
        <v>7.3015800282792406E-2</v>
      </c>
      <c r="W19" s="4"/>
      <c r="X19" s="4">
        <f t="shared" ref="X19:X21" si="11">+P19-T19</f>
        <v>222214.36</v>
      </c>
      <c r="Y19" s="4"/>
      <c r="Z19" s="12">
        <f t="shared" ref="Z19:Z21" si="12">IF(T19=0,0,X19/T19)</f>
        <v>11.015243378021003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12217.14</v>
      </c>
      <c r="E20" s="2"/>
      <c r="F20" s="19">
        <f t="shared" si="5"/>
        <v>0.90646463552258927</v>
      </c>
      <c r="G20" s="2"/>
      <c r="H20" s="2">
        <v>1534.85</v>
      </c>
      <c r="I20" s="2"/>
      <c r="J20" s="19">
        <f t="shared" si="6"/>
        <v>1.8700929630601656E-2</v>
      </c>
      <c r="K20" s="2"/>
      <c r="L20" s="2">
        <f t="shared" si="7"/>
        <v>10682.289999999999</v>
      </c>
      <c r="M20" s="2"/>
      <c r="N20" s="19">
        <f t="shared" si="8"/>
        <v>6.9598266931621984</v>
      </c>
      <c r="O20" s="11"/>
      <c r="P20" s="2">
        <v>229234.5</v>
      </c>
      <c r="Q20" s="2"/>
      <c r="R20" s="19">
        <f t="shared" si="9"/>
        <v>0.38054416465082214</v>
      </c>
      <c r="S20" s="2"/>
      <c r="T20" s="2">
        <v>14844.27</v>
      </c>
      <c r="U20" s="2"/>
      <c r="V20" s="19">
        <f t="shared" si="10"/>
        <v>5.3727628463485097E-2</v>
      </c>
      <c r="W20" s="2"/>
      <c r="X20" s="2">
        <f t="shared" si="11"/>
        <v>214390.23</v>
      </c>
      <c r="Y20" s="2"/>
      <c r="Z20" s="19">
        <f t="shared" si="12"/>
        <v>14.442625336240853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-3468.52</v>
      </c>
      <c r="E21" s="2"/>
      <c r="F21" s="19">
        <f t="shared" si="5"/>
        <v>-0.25735079712623504</v>
      </c>
      <c r="G21" s="2"/>
      <c r="H21" s="2">
        <v>-214.98</v>
      </c>
      <c r="I21" s="2"/>
      <c r="J21" s="19">
        <f t="shared" si="6"/>
        <v>-2.6193607531594253E-3</v>
      </c>
      <c r="K21" s="2"/>
      <c r="L21" s="2">
        <f t="shared" si="7"/>
        <v>-3253.54</v>
      </c>
      <c r="M21" s="2"/>
      <c r="N21" s="19">
        <f t="shared" si="8"/>
        <v>15.134152014140851</v>
      </c>
      <c r="O21" s="11"/>
      <c r="P21" s="2">
        <v>13153.21</v>
      </c>
      <c r="Q21" s="2"/>
      <c r="R21" s="19">
        <f t="shared" si="9"/>
        <v>2.1835183237806002E-2</v>
      </c>
      <c r="S21" s="2"/>
      <c r="T21" s="2">
        <v>5329.08</v>
      </c>
      <c r="U21" s="2"/>
      <c r="V21" s="19">
        <f t="shared" si="10"/>
        <v>1.9288171819307323E-2</v>
      </c>
      <c r="W21" s="2"/>
      <c r="X21" s="2">
        <f t="shared" si="11"/>
        <v>7824.1299999999992</v>
      </c>
      <c r="Y21" s="2"/>
      <c r="Z21" s="19">
        <f t="shared" si="12"/>
        <v>1.4681952607204245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5" t="s">
        <v>107</v>
      </c>
      <c r="C23" s="25"/>
      <c r="D23" s="21">
        <f>D12-D19</f>
        <v>4729.1700000000019</v>
      </c>
      <c r="E23" s="13"/>
      <c r="F23" s="22">
        <f>IF(D$12=0,0,D23/D$12)</f>
        <v>0.35088616160364583</v>
      </c>
      <c r="G23" s="13"/>
      <c r="H23" s="21">
        <f>H12-H19</f>
        <v>80753.590000000011</v>
      </c>
      <c r="I23" s="13"/>
      <c r="J23" s="22">
        <f>IF(H$12=0,0,H23/H$12)</f>
        <v>0.98391843112255783</v>
      </c>
      <c r="K23" s="15"/>
      <c r="L23" s="21">
        <f>+D23-H23</f>
        <v>-76024.420000000013</v>
      </c>
      <c r="M23" s="15"/>
      <c r="N23" s="22">
        <f>IF(H23=0,0,L23/H23)</f>
        <v>-0.94143703084903096</v>
      </c>
      <c r="O23" s="26"/>
      <c r="P23" s="21">
        <f>P12-P19</f>
        <v>359998.35</v>
      </c>
      <c r="Q23" s="13"/>
      <c r="R23" s="22">
        <f>IF(P$12=0,0,P23/P$12)</f>
        <v>0.59762065211137194</v>
      </c>
      <c r="S23" s="13"/>
      <c r="T23" s="21">
        <f>T12-T19</f>
        <v>256114.11000000002</v>
      </c>
      <c r="U23" s="13"/>
      <c r="V23" s="22">
        <f>IF(T$12=0,0,T23/T$12)</f>
        <v>0.92698419971720758</v>
      </c>
      <c r="W23" s="15"/>
      <c r="X23" s="21">
        <f>+P23-T23</f>
        <v>103884.23999999996</v>
      </c>
      <c r="Y23" s="15"/>
      <c r="Z23" s="22">
        <f>IF(T23=0,0,X23/T23)</f>
        <v>0.4056170118858346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0">
        <f>SUM(OSRRefD22x_0)</f>
        <v>166883.88999999998</v>
      </c>
      <c r="E25" s="20"/>
      <c r="F25" s="30">
        <f t="shared" ref="F25:F34" si="13">IF(D$12=0,0,D25/D$12)</f>
        <v>12.38214054381319</v>
      </c>
      <c r="G25" s="20"/>
      <c r="H25" s="20">
        <f>SUM(OSRRefH22x_0)</f>
        <v>111910.68000000002</v>
      </c>
      <c r="I25" s="20"/>
      <c r="J25" s="30">
        <f t="shared" ref="J25:J34" si="14">IF(H$12=0,0,H25/H$12)</f>
        <v>1.3635428553883315</v>
      </c>
      <c r="K25" s="4"/>
      <c r="L25" s="20">
        <f t="shared" ref="L25:L34" si="15">+D25-H25</f>
        <v>54973.209999999963</v>
      </c>
      <c r="M25" s="4"/>
      <c r="N25" s="30">
        <f t="shared" ref="N25:N34" si="16">IF(H25=0,0,L25/H25)</f>
        <v>0.49122398326951416</v>
      </c>
      <c r="O25" s="10"/>
      <c r="P25" s="20">
        <f>SUM(OSRRefP22x_0)</f>
        <v>1241007.1100000006</v>
      </c>
      <c r="Q25" s="20"/>
      <c r="R25" s="30">
        <f t="shared" ref="R25:R34" si="17">IF(P$12=0,0,P25/P$12)</f>
        <v>2.0601524377904772</v>
      </c>
      <c r="S25" s="20"/>
      <c r="T25" s="20">
        <f>SUM(OSRRefT22x_0)</f>
        <v>786753.15</v>
      </c>
      <c r="U25" s="20"/>
      <c r="V25" s="30">
        <f t="shared" ref="V25:V34" si="18">IF(T$12=0,0,T25/T$12)</f>
        <v>2.8475890653886351</v>
      </c>
      <c r="W25" s="4"/>
      <c r="X25" s="20">
        <f t="shared" ref="X25:X34" si="19">+P25-T25</f>
        <v>454253.96000000054</v>
      </c>
      <c r="Y25" s="4"/>
      <c r="Z25" s="30">
        <f t="shared" ref="Z25:Z34" si="20">IF(T25=0,0,X25/T25)</f>
        <v>0.57737799969405978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37883.480000000003</v>
      </c>
      <c r="E26" s="1"/>
      <c r="F26" s="5">
        <f t="shared" si="13"/>
        <v>2.8108080033892797</v>
      </c>
      <c r="G26" s="1"/>
      <c r="H26" s="1">
        <f>SUM(OSRRefH22_0x_0)</f>
        <v>18824.990000000002</v>
      </c>
      <c r="I26" s="1"/>
      <c r="J26" s="5">
        <f t="shared" si="14"/>
        <v>0.22936756900464536</v>
      </c>
      <c r="K26" s="1"/>
      <c r="L26" s="1">
        <f t="shared" si="15"/>
        <v>19058.490000000002</v>
      </c>
      <c r="M26" s="1"/>
      <c r="N26" s="5">
        <f t="shared" si="16"/>
        <v>1.0124037250484594</v>
      </c>
      <c r="O26" s="14"/>
      <c r="P26" s="1">
        <f>SUM(OSRRefP22_0x_0)</f>
        <v>215582.75</v>
      </c>
      <c r="Q26" s="1"/>
      <c r="R26" s="5">
        <f t="shared" si="17"/>
        <v>0.35788137262007691</v>
      </c>
      <c r="S26" s="1"/>
      <c r="T26" s="1">
        <f>SUM(OSRRefT22_0x_0)</f>
        <v>149994.06</v>
      </c>
      <c r="U26" s="1"/>
      <c r="V26" s="5">
        <f t="shared" si="18"/>
        <v>0.54289130603321623</v>
      </c>
      <c r="W26" s="1"/>
      <c r="X26" s="1">
        <f t="shared" si="19"/>
        <v>65588.69</v>
      </c>
      <c r="Y26" s="1"/>
      <c r="Z26" s="5">
        <f t="shared" si="20"/>
        <v>0.43727524943321089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3785.51</v>
      </c>
      <c r="E27" s="2"/>
      <c r="F27" s="6">
        <f t="shared" si="13"/>
        <v>0.28087023169228781</v>
      </c>
      <c r="G27" s="2"/>
      <c r="H27" s="7">
        <v>2030.81</v>
      </c>
      <c r="I27" s="2"/>
      <c r="J27" s="6">
        <f t="shared" si="14"/>
        <v>2.4743808778136072E-2</v>
      </c>
      <c r="K27" s="2"/>
      <c r="L27" s="7">
        <f t="shared" si="15"/>
        <v>1754.7000000000003</v>
      </c>
      <c r="M27" s="2"/>
      <c r="N27" s="6">
        <f t="shared" si="16"/>
        <v>0.86403947193484387</v>
      </c>
      <c r="O27" s="11"/>
      <c r="P27" s="7">
        <v>30178.06</v>
      </c>
      <c r="Q27" s="2"/>
      <c r="R27" s="6">
        <f t="shared" si="17"/>
        <v>5.0097540437771759E-2</v>
      </c>
      <c r="S27" s="2"/>
      <c r="T27" s="7">
        <v>17675.59</v>
      </c>
      <c r="U27" s="2"/>
      <c r="V27" s="6">
        <f t="shared" si="18"/>
        <v>6.3975361024347602E-2</v>
      </c>
      <c r="W27" s="2"/>
      <c r="X27" s="7">
        <f t="shared" si="19"/>
        <v>12502.470000000001</v>
      </c>
      <c r="Y27" s="2"/>
      <c r="Z27" s="6">
        <f t="shared" si="20"/>
        <v>0.70732971289784397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1412.38</v>
      </c>
      <c r="E28" s="2"/>
      <c r="F28" s="6">
        <f t="shared" si="13"/>
        <v>0.10479314487019015</v>
      </c>
      <c r="G28" s="2"/>
      <c r="H28" s="7">
        <v>205.8</v>
      </c>
      <c r="I28" s="2"/>
      <c r="J28" s="6">
        <f t="shared" si="14"/>
        <v>2.5075097357903516E-3</v>
      </c>
      <c r="K28" s="2"/>
      <c r="L28" s="7">
        <f t="shared" si="15"/>
        <v>1206.5800000000002</v>
      </c>
      <c r="M28" s="2"/>
      <c r="N28" s="6">
        <f t="shared" si="16"/>
        <v>5.8628765792031103</v>
      </c>
      <c r="O28" s="11"/>
      <c r="P28" s="7">
        <v>13606.17</v>
      </c>
      <c r="Q28" s="2"/>
      <c r="R28" s="6">
        <f t="shared" si="17"/>
        <v>2.2587126269157029E-2</v>
      </c>
      <c r="S28" s="2"/>
      <c r="T28" s="7">
        <v>5162.5</v>
      </c>
      <c r="U28" s="2"/>
      <c r="V28" s="6">
        <f t="shared" si="18"/>
        <v>1.8685249051838979E-2</v>
      </c>
      <c r="W28" s="2"/>
      <c r="X28" s="7">
        <f t="shared" si="19"/>
        <v>8443.67</v>
      </c>
      <c r="Y28" s="2"/>
      <c r="Z28" s="6">
        <f t="shared" si="20"/>
        <v>1.6355777239709444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11880.48</v>
      </c>
      <c r="E29" s="2"/>
      <c r="F29" s="6">
        <f t="shared" si="13"/>
        <v>0.88148576287358671</v>
      </c>
      <c r="G29" s="2"/>
      <c r="H29" s="7">
        <v>8554.93</v>
      </c>
      <c r="I29" s="2"/>
      <c r="J29" s="6">
        <f t="shared" si="14"/>
        <v>0.10423503529642834</v>
      </c>
      <c r="K29" s="2"/>
      <c r="L29" s="7">
        <f t="shared" si="15"/>
        <v>3325.5499999999993</v>
      </c>
      <c r="M29" s="2"/>
      <c r="N29" s="6">
        <f t="shared" si="16"/>
        <v>0.38872907200877144</v>
      </c>
      <c r="O29" s="11"/>
      <c r="P29" s="7">
        <v>86812.04</v>
      </c>
      <c r="Q29" s="2"/>
      <c r="R29" s="6">
        <f t="shared" si="17"/>
        <v>0.14411362706500877</v>
      </c>
      <c r="S29" s="2"/>
      <c r="T29" s="7">
        <v>69486.78</v>
      </c>
      <c r="U29" s="2"/>
      <c r="V29" s="6">
        <f t="shared" si="18"/>
        <v>0.25150175111096246</v>
      </c>
      <c r="W29" s="2"/>
      <c r="X29" s="7">
        <f t="shared" si="19"/>
        <v>17325.259999999995</v>
      </c>
      <c r="Y29" s="2"/>
      <c r="Z29" s="6">
        <f t="shared" si="20"/>
        <v>0.24933174339061323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132.13</v>
      </c>
      <c r="E30" s="2"/>
      <c r="F30" s="6">
        <f t="shared" si="13"/>
        <v>9.8035360396622872E-3</v>
      </c>
      <c r="G30" s="2"/>
      <c r="H30" s="7">
        <v>164.95</v>
      </c>
      <c r="I30" s="2"/>
      <c r="J30" s="6">
        <f t="shared" si="14"/>
        <v>2.0097848927046573E-3</v>
      </c>
      <c r="K30" s="2"/>
      <c r="L30" s="7">
        <f t="shared" si="15"/>
        <v>-32.819999999999993</v>
      </c>
      <c r="M30" s="2"/>
      <c r="N30" s="6">
        <f t="shared" si="16"/>
        <v>-0.19896938466201877</v>
      </c>
      <c r="O30" s="11"/>
      <c r="P30" s="7">
        <v>1204.4000000000001</v>
      </c>
      <c r="Q30" s="2"/>
      <c r="R30" s="6">
        <f t="shared" si="17"/>
        <v>1.9993822566212772E-3</v>
      </c>
      <c r="S30" s="2"/>
      <c r="T30" s="7">
        <v>673.22</v>
      </c>
      <c r="U30" s="2"/>
      <c r="V30" s="6">
        <f t="shared" si="18"/>
        <v>2.4366650589208788E-3</v>
      </c>
      <c r="W30" s="2"/>
      <c r="X30" s="7">
        <f t="shared" si="19"/>
        <v>531.18000000000006</v>
      </c>
      <c r="Y30" s="2"/>
      <c r="Z30" s="6">
        <f t="shared" si="20"/>
        <v>0.78901399245417547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3175.7</v>
      </c>
      <c r="E31" s="2"/>
      <c r="F31" s="6">
        <f t="shared" si="13"/>
        <v>0.23562468327522537</v>
      </c>
      <c r="G31" s="2"/>
      <c r="H31" s="7">
        <v>3958.83</v>
      </c>
      <c r="I31" s="2"/>
      <c r="J31" s="6">
        <f t="shared" si="14"/>
        <v>4.8235202951112326E-2</v>
      </c>
      <c r="K31" s="2"/>
      <c r="L31" s="7">
        <f t="shared" si="15"/>
        <v>-783.13000000000011</v>
      </c>
      <c r="M31" s="2"/>
      <c r="N31" s="6">
        <f t="shared" si="16"/>
        <v>-0.19781854739910532</v>
      </c>
      <c r="O31" s="11"/>
      <c r="P31" s="7">
        <v>24206.44</v>
      </c>
      <c r="Q31" s="2"/>
      <c r="R31" s="6">
        <f t="shared" si="17"/>
        <v>4.0184263228136459E-2</v>
      </c>
      <c r="S31" s="2"/>
      <c r="T31" s="7">
        <v>24223.11</v>
      </c>
      <c r="U31" s="2"/>
      <c r="V31" s="6">
        <f t="shared" si="18"/>
        <v>8.7673577367572156E-2</v>
      </c>
      <c r="W31" s="2"/>
      <c r="X31" s="7">
        <f t="shared" si="19"/>
        <v>-16.670000000001892</v>
      </c>
      <c r="Y31" s="2"/>
      <c r="Z31" s="6">
        <f t="shared" si="20"/>
        <v>-6.8818578621828049E-4</v>
      </c>
    </row>
    <row r="32" spans="1:26" s="24" customFormat="1" hidden="1" outlineLevel="2" x14ac:dyDescent="0.3">
      <c r="A32" s="27"/>
      <c r="B32" s="11" t="str">
        <f>CONCATENATE("          ", "6118", " - ", "VACATION")</f>
        <v xml:space="preserve">          6118 - VACATION</v>
      </c>
      <c r="C32" s="11"/>
      <c r="D32" s="7">
        <v>5599.63</v>
      </c>
      <c r="E32" s="2"/>
      <c r="F32" s="6">
        <f t="shared" si="13"/>
        <v>0.41547093403295343</v>
      </c>
      <c r="G32" s="2"/>
      <c r="H32" s="7">
        <v>2423.7800000000002</v>
      </c>
      <c r="I32" s="2"/>
      <c r="J32" s="6">
        <f t="shared" si="14"/>
        <v>2.9531836479173658E-2</v>
      </c>
      <c r="K32" s="2"/>
      <c r="L32" s="7">
        <f t="shared" si="15"/>
        <v>3175.85</v>
      </c>
      <c r="M32" s="2"/>
      <c r="N32" s="6">
        <f t="shared" si="16"/>
        <v>1.3102880624479118</v>
      </c>
      <c r="O32" s="11"/>
      <c r="P32" s="7">
        <v>25714.6</v>
      </c>
      <c r="Q32" s="2"/>
      <c r="R32" s="6">
        <f t="shared" si="17"/>
        <v>4.2687906821748167E-2</v>
      </c>
      <c r="S32" s="2"/>
      <c r="T32" s="7">
        <v>18509.080000000002</v>
      </c>
      <c r="U32" s="2"/>
      <c r="V32" s="6">
        <f t="shared" si="18"/>
        <v>6.6992110318723846E-2</v>
      </c>
      <c r="W32" s="2"/>
      <c r="X32" s="7">
        <f t="shared" si="19"/>
        <v>7205.5199999999968</v>
      </c>
      <c r="Y32" s="2"/>
      <c r="Z32" s="6">
        <f t="shared" si="20"/>
        <v>0.38929649663840643</v>
      </c>
    </row>
    <row r="33" spans="1:26" s="24" customFormat="1" hidden="1" outlineLevel="2" x14ac:dyDescent="0.3">
      <c r="A33" s="27"/>
      <c r="B33" s="11" t="str">
        <f>CONCATENATE("          ", "6119", " - ", "SICK LEAVE")</f>
        <v xml:space="preserve">          6119 - SICK LEAVE</v>
      </c>
      <c r="C33" s="11"/>
      <c r="D33" s="7">
        <v>10406.469999999999</v>
      </c>
      <c r="E33" s="2"/>
      <c r="F33" s="6">
        <f t="shared" si="13"/>
        <v>0.77211990986652845</v>
      </c>
      <c r="G33" s="2"/>
      <c r="H33" s="7">
        <v>1382.86</v>
      </c>
      <c r="I33" s="2"/>
      <c r="J33" s="6">
        <f t="shared" si="14"/>
        <v>1.6849052056535693E-2</v>
      </c>
      <c r="K33" s="2"/>
      <c r="L33" s="7">
        <f t="shared" si="15"/>
        <v>9023.6099999999988</v>
      </c>
      <c r="M33" s="2"/>
      <c r="N33" s="6">
        <f t="shared" si="16"/>
        <v>6.5253243278422977</v>
      </c>
      <c r="O33" s="11"/>
      <c r="P33" s="7">
        <v>23559.61</v>
      </c>
      <c r="Q33" s="2"/>
      <c r="R33" s="6">
        <f t="shared" si="17"/>
        <v>3.9110483399964473E-2</v>
      </c>
      <c r="S33" s="2"/>
      <c r="T33" s="7">
        <v>10742.42</v>
      </c>
      <c r="U33" s="2"/>
      <c r="V33" s="6">
        <f t="shared" si="18"/>
        <v>3.8881315858490278E-2</v>
      </c>
      <c r="W33" s="2"/>
      <c r="X33" s="7">
        <f t="shared" si="19"/>
        <v>12817.19</v>
      </c>
      <c r="Y33" s="2"/>
      <c r="Z33" s="6">
        <f t="shared" si="20"/>
        <v>1.1931380452449263</v>
      </c>
    </row>
    <row r="34" spans="1:26" s="24" customFormat="1" hidden="1" outlineLevel="2" x14ac:dyDescent="0.3">
      <c r="A34" s="27"/>
      <c r="B34" s="11" t="str">
        <f>CONCATENATE("          ", "6156", " - ", "EMPLOYEE MEALS")</f>
        <v xml:space="preserve">          6156 - EMPLOYEE MEALS</v>
      </c>
      <c r="C34" s="11"/>
      <c r="D34" s="7">
        <v>1491.18</v>
      </c>
      <c r="E34" s="2"/>
      <c r="F34" s="6">
        <f t="shared" si="13"/>
        <v>0.11063980073884516</v>
      </c>
      <c r="G34" s="2"/>
      <c r="H34" s="7">
        <v>103.03</v>
      </c>
      <c r="I34" s="2"/>
      <c r="J34" s="6">
        <f t="shared" si="14"/>
        <v>1.2553388147642367E-3</v>
      </c>
      <c r="K34" s="2"/>
      <c r="L34" s="7">
        <f t="shared" si="15"/>
        <v>1388.15</v>
      </c>
      <c r="M34" s="2"/>
      <c r="N34" s="6">
        <f t="shared" si="16"/>
        <v>13.473260215471223</v>
      </c>
      <c r="O34" s="11"/>
      <c r="P34" s="7">
        <v>10301.43</v>
      </c>
      <c r="Q34" s="2"/>
      <c r="R34" s="6">
        <f t="shared" si="17"/>
        <v>1.7101043141668985E-2</v>
      </c>
      <c r="S34" s="2"/>
      <c r="T34" s="7">
        <v>3521.36</v>
      </c>
      <c r="U34" s="2"/>
      <c r="V34" s="6">
        <f t="shared" si="18"/>
        <v>1.274527624236004E-2</v>
      </c>
      <c r="W34" s="2"/>
      <c r="X34" s="7">
        <f t="shared" si="19"/>
        <v>6780.07</v>
      </c>
      <c r="Y34" s="2"/>
      <c r="Z34" s="6">
        <f t="shared" si="20"/>
        <v>1.9254123406865529</v>
      </c>
    </row>
    <row r="35" spans="1:26" s="29" customFormat="1" outlineLevel="1" collapsed="1" x14ac:dyDescent="0.3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58309.85</v>
      </c>
      <c r="E35" s="1"/>
      <c r="F35" s="5">
        <f t="shared" ref="F35:F40" si="21">IF(D$12=0,0,D35/D$12)</f>
        <v>4.3263658211027174</v>
      </c>
      <c r="G35" s="1"/>
      <c r="H35" s="1">
        <f>SUM(OSRRefH22_1x_0)</f>
        <v>29206.010000000002</v>
      </c>
      <c r="I35" s="1"/>
      <c r="J35" s="5">
        <f t="shared" ref="J35:J40" si="22">IF(H$12=0,0,H35/H$12)</f>
        <v>0.35585206228663929</v>
      </c>
      <c r="K35" s="1"/>
      <c r="L35" s="1">
        <f t="shared" ref="L35:L40" si="23">+D35-H35</f>
        <v>29103.839999999997</v>
      </c>
      <c r="M35" s="1"/>
      <c r="N35" s="5">
        <f t="shared" ref="N35:N40" si="24">IF(H35=0,0,L35/H35)</f>
        <v>0.9965017474143163</v>
      </c>
      <c r="O35" s="14"/>
      <c r="P35" s="1">
        <f>SUM(OSRRefP22_1x_0)</f>
        <v>449191.33999999997</v>
      </c>
      <c r="Q35" s="1"/>
      <c r="R35" s="5">
        <f t="shared" ref="R35:R40" si="25">IF(P$12=0,0,P35/P$12)</f>
        <v>0.74568681088005262</v>
      </c>
      <c r="S35" s="1"/>
      <c r="T35" s="1">
        <f>SUM(OSRRefT22_1x_0)</f>
        <v>208137.66999999998</v>
      </c>
      <c r="U35" s="1"/>
      <c r="V35" s="5">
        <f t="shared" ref="V35:V40" si="26">IF(T$12=0,0,T35/T$12)</f>
        <v>0.75333737550014024</v>
      </c>
      <c r="W35" s="1"/>
      <c r="X35" s="1">
        <f t="shared" ref="X35:X40" si="27">+P35-T35</f>
        <v>241053.66999999998</v>
      </c>
      <c r="Y35" s="1"/>
      <c r="Z35" s="5">
        <f t="shared" ref="Z35:Z40" si="28">IF(T35=0,0,X35/T35)</f>
        <v>1.1581453275613203</v>
      </c>
    </row>
    <row r="36" spans="1:26" s="24" customFormat="1" hidden="1" outlineLevel="2" x14ac:dyDescent="0.3">
      <c r="A36" s="27"/>
      <c r="B36" s="11" t="str">
        <f>CONCATENATE("          ", "6001", " - ", "ADMINISTRATIVE SALARIES")</f>
        <v xml:space="preserve">          6001 - ADMINISTRATIVE SALARIES</v>
      </c>
      <c r="C36" s="11"/>
      <c r="D36" s="7">
        <v>14390.06</v>
      </c>
      <c r="E36" s="2"/>
      <c r="F36" s="6">
        <f t="shared" si="21"/>
        <v>1.0676869130621562</v>
      </c>
      <c r="G36" s="2"/>
      <c r="H36" s="7">
        <v>13911.28</v>
      </c>
      <c r="I36" s="2"/>
      <c r="J36" s="6">
        <f t="shared" si="22"/>
        <v>0.16949791077407969</v>
      </c>
      <c r="K36" s="2"/>
      <c r="L36" s="7">
        <f t="shared" si="23"/>
        <v>478.77999999999884</v>
      </c>
      <c r="M36" s="2"/>
      <c r="N36" s="6">
        <f t="shared" si="24"/>
        <v>3.4416674813532527E-2</v>
      </c>
      <c r="O36" s="11"/>
      <c r="P36" s="7">
        <v>78259.83</v>
      </c>
      <c r="Q36" s="2"/>
      <c r="R36" s="6">
        <f t="shared" si="25"/>
        <v>0.12991640277997138</v>
      </c>
      <c r="S36" s="2"/>
      <c r="T36" s="7">
        <v>76591.08</v>
      </c>
      <c r="U36" s="2"/>
      <c r="V36" s="6">
        <f t="shared" si="26"/>
        <v>0.27721518739938467</v>
      </c>
      <c r="W36" s="2"/>
      <c r="X36" s="7">
        <f t="shared" si="27"/>
        <v>1668.75</v>
      </c>
      <c r="Y36" s="2"/>
      <c r="Z36" s="6">
        <f t="shared" si="28"/>
        <v>2.1787785209452588E-2</v>
      </c>
    </row>
    <row r="37" spans="1:26" s="24" customFormat="1" hidden="1" outlineLevel="2" x14ac:dyDescent="0.3">
      <c r="A37" s="27"/>
      <c r="B37" s="11" t="str">
        <f>CONCATENATE("          ", "6002", " - ", "STAFF SALARIES")</f>
        <v xml:space="preserve">          6002 - STAFF SALARIES</v>
      </c>
      <c r="C37" s="11"/>
      <c r="D37" s="7">
        <v>24810.84</v>
      </c>
      <c r="E37" s="2"/>
      <c r="F37" s="6">
        <f t="shared" si="21"/>
        <v>1.8408685696987412</v>
      </c>
      <c r="G37" s="2"/>
      <c r="H37" s="7">
        <v>14173.28</v>
      </c>
      <c r="I37" s="2"/>
      <c r="J37" s="6">
        <f t="shared" si="22"/>
        <v>0.17269017292557179</v>
      </c>
      <c r="K37" s="2"/>
      <c r="L37" s="7">
        <f t="shared" si="23"/>
        <v>10637.56</v>
      </c>
      <c r="M37" s="2"/>
      <c r="N37" s="6">
        <f t="shared" si="24"/>
        <v>0.75053622026799716</v>
      </c>
      <c r="O37" s="11"/>
      <c r="P37" s="7">
        <v>159759.09</v>
      </c>
      <c r="Q37" s="2"/>
      <c r="R37" s="6">
        <f t="shared" si="25"/>
        <v>0.26521046984387392</v>
      </c>
      <c r="S37" s="2"/>
      <c r="T37" s="7">
        <v>107094.09</v>
      </c>
      <c r="U37" s="2"/>
      <c r="V37" s="6">
        <f t="shared" si="26"/>
        <v>0.38761835227700886</v>
      </c>
      <c r="W37" s="2"/>
      <c r="X37" s="7">
        <f t="shared" si="27"/>
        <v>52665</v>
      </c>
      <c r="Y37" s="2"/>
      <c r="Z37" s="6">
        <f t="shared" si="28"/>
        <v>0.49176383122542056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7">
        <v>9378.99</v>
      </c>
      <c r="E38" s="2"/>
      <c r="F38" s="6">
        <f t="shared" si="21"/>
        <v>0.69588485946138046</v>
      </c>
      <c r="G38" s="2"/>
      <c r="H38" s="7">
        <v>960.45</v>
      </c>
      <c r="I38" s="2"/>
      <c r="J38" s="6">
        <f t="shared" si="22"/>
        <v>1.1702321310689228E-2</v>
      </c>
      <c r="K38" s="2"/>
      <c r="L38" s="7">
        <f t="shared" si="23"/>
        <v>8418.5399999999991</v>
      </c>
      <c r="M38" s="2"/>
      <c r="N38" s="6">
        <f t="shared" si="24"/>
        <v>8.7652038107137269</v>
      </c>
      <c r="O38" s="11"/>
      <c r="P38" s="7">
        <v>64965.3</v>
      </c>
      <c r="Q38" s="2"/>
      <c r="R38" s="6">
        <f t="shared" si="25"/>
        <v>0.10784661915981258</v>
      </c>
      <c r="S38" s="2"/>
      <c r="T38" s="7">
        <v>21485.08</v>
      </c>
      <c r="U38" s="2"/>
      <c r="V38" s="6">
        <f t="shared" si="26"/>
        <v>7.776350037746918E-2</v>
      </c>
      <c r="W38" s="2"/>
      <c r="X38" s="7">
        <f t="shared" si="27"/>
        <v>43480.22</v>
      </c>
      <c r="Y38" s="2"/>
      <c r="Z38" s="6">
        <f t="shared" si="28"/>
        <v>2.0237401955217296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7">
        <v>3234.96</v>
      </c>
      <c r="E39" s="2"/>
      <c r="F39" s="6">
        <f t="shared" si="21"/>
        <v>0.24002154655919108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3234.96</v>
      </c>
      <c r="M39" s="2"/>
      <c r="N39" s="6">
        <f t="shared" si="24"/>
        <v>0</v>
      </c>
      <c r="O39" s="11"/>
      <c r="P39" s="7">
        <v>65712.479999999996</v>
      </c>
      <c r="Q39" s="2"/>
      <c r="R39" s="6">
        <f t="shared" si="25"/>
        <v>0.10908698650828673</v>
      </c>
      <c r="S39" s="2"/>
      <c r="T39" s="7">
        <v>2736.71</v>
      </c>
      <c r="U39" s="2"/>
      <c r="V39" s="6">
        <f t="shared" si="26"/>
        <v>9.9052993574156416E-3</v>
      </c>
      <c r="W39" s="2"/>
      <c r="X39" s="7">
        <f t="shared" si="27"/>
        <v>62975.77</v>
      </c>
      <c r="Y39" s="2"/>
      <c r="Z39" s="6">
        <f t="shared" si="28"/>
        <v>23.011488246836528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7">
        <v>6495</v>
      </c>
      <c r="E40" s="2"/>
      <c r="F40" s="6">
        <f t="shared" si="21"/>
        <v>0.48190393232124851</v>
      </c>
      <c r="G40" s="2"/>
      <c r="H40" s="7">
        <v>161</v>
      </c>
      <c r="I40" s="2"/>
      <c r="J40" s="6">
        <f t="shared" si="22"/>
        <v>1.9616572762985742E-3</v>
      </c>
      <c r="K40" s="2"/>
      <c r="L40" s="7">
        <f t="shared" si="23"/>
        <v>6334</v>
      </c>
      <c r="M40" s="2"/>
      <c r="N40" s="6">
        <f t="shared" si="24"/>
        <v>39.341614906832298</v>
      </c>
      <c r="O40" s="11"/>
      <c r="P40" s="7">
        <v>80494.64</v>
      </c>
      <c r="Q40" s="2"/>
      <c r="R40" s="6">
        <f t="shared" si="25"/>
        <v>0.13362633258810805</v>
      </c>
      <c r="S40" s="2"/>
      <c r="T40" s="7">
        <v>230.71</v>
      </c>
      <c r="U40" s="2"/>
      <c r="V40" s="6">
        <f t="shared" si="26"/>
        <v>8.3503608886194107E-4</v>
      </c>
      <c r="W40" s="2"/>
      <c r="X40" s="7">
        <f t="shared" si="27"/>
        <v>80263.929999999993</v>
      </c>
      <c r="Y40" s="2"/>
      <c r="Z40" s="6">
        <f t="shared" si="28"/>
        <v>347.89965757877849</v>
      </c>
    </row>
    <row r="41" spans="1:26" s="29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261.93</v>
      </c>
      <c r="E41" s="1"/>
      <c r="F41" s="5">
        <f t="shared" ref="F41:F49" si="29">IF(D$12=0,0,D41/D$12)</f>
        <v>1.9434195072040743E-2</v>
      </c>
      <c r="G41" s="1"/>
      <c r="H41" s="1">
        <f>SUM(OSRRefH22_2x_0)</f>
        <v>5.4</v>
      </c>
      <c r="I41" s="1"/>
      <c r="J41" s="5">
        <f t="shared" ref="J41:J49" si="30">IF(H$12=0,0,H41/H$12)</f>
        <v>6.5794716099455287E-5</v>
      </c>
      <c r="K41" s="1"/>
      <c r="L41" s="1">
        <f t="shared" ref="L41:L49" si="31">+D41-H41</f>
        <v>256.53000000000003</v>
      </c>
      <c r="M41" s="1"/>
      <c r="N41" s="5">
        <f t="shared" ref="N41:N49" si="32">IF(H41=0,0,L41/H41)</f>
        <v>47.50555555555556</v>
      </c>
      <c r="O41" s="14"/>
      <c r="P41" s="1">
        <f>SUM(OSRRefP22_2x_0)</f>
        <v>1175.29</v>
      </c>
      <c r="Q41" s="1"/>
      <c r="R41" s="5">
        <f t="shared" ref="R41:R49" si="33">IF(P$12=0,0,P41/P$12)</f>
        <v>1.9510577651813525E-3</v>
      </c>
      <c r="S41" s="1"/>
      <c r="T41" s="1">
        <f>SUM(OSRRefT22_2x_0)</f>
        <v>139.35</v>
      </c>
      <c r="U41" s="1"/>
      <c r="V41" s="5">
        <f t="shared" ref="V41:V49" si="34">IF(T$12=0,0,T41/T$12)</f>
        <v>5.0436599619830733E-4</v>
      </c>
      <c r="W41" s="1"/>
      <c r="X41" s="1">
        <f t="shared" ref="X41:X49" si="35">+P41-T41</f>
        <v>1035.94</v>
      </c>
      <c r="Y41" s="1"/>
      <c r="Z41" s="5">
        <f t="shared" ref="Z41:Z49" si="36">IF(T41=0,0,X41/T41)</f>
        <v>7.4340868317186946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7">
        <v>261.93</v>
      </c>
      <c r="E42" s="2"/>
      <c r="F42" s="6">
        <f t="shared" si="29"/>
        <v>1.9434195072040743E-2</v>
      </c>
      <c r="G42" s="2"/>
      <c r="H42" s="7">
        <v>5.4</v>
      </c>
      <c r="I42" s="2"/>
      <c r="J42" s="6">
        <f t="shared" si="30"/>
        <v>6.5794716099455287E-5</v>
      </c>
      <c r="K42" s="2"/>
      <c r="L42" s="7">
        <f t="shared" si="31"/>
        <v>256.53000000000003</v>
      </c>
      <c r="M42" s="2"/>
      <c r="N42" s="6">
        <f t="shared" si="32"/>
        <v>47.50555555555556</v>
      </c>
      <c r="O42" s="11"/>
      <c r="P42" s="7">
        <v>1175.29</v>
      </c>
      <c r="Q42" s="2"/>
      <c r="R42" s="6">
        <f t="shared" si="33"/>
        <v>1.9510577651813525E-3</v>
      </c>
      <c r="S42" s="2"/>
      <c r="T42" s="7">
        <v>139.35</v>
      </c>
      <c r="U42" s="2"/>
      <c r="V42" s="6">
        <f t="shared" si="34"/>
        <v>5.0436599619830733E-4</v>
      </c>
      <c r="W42" s="2"/>
      <c r="X42" s="7">
        <f t="shared" si="35"/>
        <v>1035.94</v>
      </c>
      <c r="Y42" s="2"/>
      <c r="Z42" s="6">
        <f t="shared" si="36"/>
        <v>7.4340868317186946</v>
      </c>
    </row>
    <row r="43" spans="1:26" s="29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-1.04</v>
      </c>
      <c r="E43" s="1"/>
      <c r="F43" s="5">
        <f t="shared" si="29"/>
        <v>-7.7163986083771894E-5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-1.04</v>
      </c>
      <c r="M43" s="1"/>
      <c r="N43" s="5">
        <f t="shared" si="32"/>
        <v>0</v>
      </c>
      <c r="O43" s="14"/>
      <c r="P43" s="1">
        <f>SUM(OSRRefP22_3x_0)</f>
        <v>-81.95</v>
      </c>
      <c r="Q43" s="1"/>
      <c r="R43" s="5">
        <f t="shared" si="33"/>
        <v>-1.360423247510077E-4</v>
      </c>
      <c r="S43" s="1"/>
      <c r="T43" s="1">
        <f>SUM(OSRRefT22_3x_0)</f>
        <v>8.7899999999999991</v>
      </c>
      <c r="U43" s="1"/>
      <c r="V43" s="5">
        <f t="shared" si="34"/>
        <v>3.1814690395286124E-5</v>
      </c>
      <c r="W43" s="1"/>
      <c r="X43" s="1">
        <f t="shared" si="35"/>
        <v>-90.740000000000009</v>
      </c>
      <c r="Y43" s="1"/>
      <c r="Z43" s="5">
        <f t="shared" si="36"/>
        <v>-10.323094425483506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7">
        <v>-1.04</v>
      </c>
      <c r="E44" s="2"/>
      <c r="F44" s="6">
        <f t="shared" si="29"/>
        <v>-7.7163986083771894E-5</v>
      </c>
      <c r="G44" s="2"/>
      <c r="H44" s="7"/>
      <c r="I44" s="2"/>
      <c r="J44" s="6">
        <f t="shared" si="30"/>
        <v>0</v>
      </c>
      <c r="K44" s="2"/>
      <c r="L44" s="7">
        <f t="shared" si="31"/>
        <v>-1.04</v>
      </c>
      <c r="M44" s="2"/>
      <c r="N44" s="6">
        <f t="shared" si="32"/>
        <v>0</v>
      </c>
      <c r="O44" s="11"/>
      <c r="P44" s="7">
        <v>-81.95</v>
      </c>
      <c r="Q44" s="2"/>
      <c r="R44" s="6">
        <f t="shared" si="33"/>
        <v>-1.360423247510077E-4</v>
      </c>
      <c r="S44" s="2"/>
      <c r="T44" s="7">
        <v>8.7899999999999991</v>
      </c>
      <c r="U44" s="2"/>
      <c r="V44" s="6">
        <f t="shared" si="34"/>
        <v>3.1814690395286124E-5</v>
      </c>
      <c r="W44" s="2"/>
      <c r="X44" s="7">
        <f t="shared" si="35"/>
        <v>-90.740000000000009</v>
      </c>
      <c r="Y44" s="2"/>
      <c r="Z44" s="6">
        <f t="shared" si="36"/>
        <v>-10.323094425483506</v>
      </c>
    </row>
    <row r="45" spans="1:26" s="29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546.46</v>
      </c>
      <c r="E45" s="1"/>
      <c r="F45" s="5">
        <f t="shared" si="29"/>
        <v>4.054522291859422E-2</v>
      </c>
      <c r="G45" s="1"/>
      <c r="H45" s="1">
        <f>SUM(OSRRefH22_4x_0)</f>
        <v>671.77</v>
      </c>
      <c r="I45" s="1"/>
      <c r="J45" s="5">
        <f t="shared" si="30"/>
        <v>8.1849845248390882E-3</v>
      </c>
      <c r="K45" s="1"/>
      <c r="L45" s="1">
        <f t="shared" si="31"/>
        <v>-125.30999999999995</v>
      </c>
      <c r="M45" s="1"/>
      <c r="N45" s="5">
        <f t="shared" si="32"/>
        <v>-0.18653705881477284</v>
      </c>
      <c r="O45" s="14"/>
      <c r="P45" s="1">
        <f>SUM(OSRRefP22_4x_0)</f>
        <v>23096.32</v>
      </c>
      <c r="Q45" s="1"/>
      <c r="R45" s="5">
        <f t="shared" si="33"/>
        <v>3.8341391897415422E-2</v>
      </c>
      <c r="S45" s="1"/>
      <c r="T45" s="1">
        <f>SUM(OSRRefT22_4x_0)</f>
        <v>3926.53</v>
      </c>
      <c r="U45" s="1"/>
      <c r="V45" s="5">
        <f t="shared" si="34"/>
        <v>1.4211756118066306E-2</v>
      </c>
      <c r="W45" s="1"/>
      <c r="X45" s="1">
        <f t="shared" si="35"/>
        <v>19169.79</v>
      </c>
      <c r="Y45" s="1"/>
      <c r="Z45" s="5">
        <f t="shared" si="36"/>
        <v>4.8821198360893714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546.46</v>
      </c>
      <c r="E46" s="2"/>
      <c r="F46" s="6">
        <f t="shared" si="29"/>
        <v>4.054522291859422E-2</v>
      </c>
      <c r="G46" s="2"/>
      <c r="H46" s="7">
        <v>671.77</v>
      </c>
      <c r="I46" s="2"/>
      <c r="J46" s="6">
        <f t="shared" si="30"/>
        <v>8.1849845248390882E-3</v>
      </c>
      <c r="K46" s="2"/>
      <c r="L46" s="7">
        <f t="shared" si="31"/>
        <v>-125.30999999999995</v>
      </c>
      <c r="M46" s="2"/>
      <c r="N46" s="6">
        <f t="shared" si="32"/>
        <v>-0.18653705881477284</v>
      </c>
      <c r="O46" s="11"/>
      <c r="P46" s="7">
        <v>23096.32</v>
      </c>
      <c r="Q46" s="2"/>
      <c r="R46" s="6">
        <f t="shared" si="33"/>
        <v>3.8341391897415422E-2</v>
      </c>
      <c r="S46" s="2"/>
      <c r="T46" s="7">
        <v>3926.53</v>
      </c>
      <c r="U46" s="2"/>
      <c r="V46" s="6">
        <f t="shared" si="34"/>
        <v>1.4211756118066306E-2</v>
      </c>
      <c r="W46" s="2"/>
      <c r="X46" s="7">
        <f t="shared" si="35"/>
        <v>19169.79</v>
      </c>
      <c r="Y46" s="2"/>
      <c r="Z46" s="6">
        <f t="shared" si="36"/>
        <v>4.8821198360893714</v>
      </c>
    </row>
    <row r="47" spans="1:26" s="29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32782.04</v>
      </c>
      <c r="E47" s="1"/>
      <c r="F47" s="5">
        <f t="shared" si="29"/>
        <v>2.4323008445746668</v>
      </c>
      <c r="G47" s="1"/>
      <c r="H47" s="1">
        <f>SUM(OSRRefH22_5x_0)</f>
        <v>36720.76</v>
      </c>
      <c r="I47" s="1"/>
      <c r="J47" s="5">
        <f t="shared" si="30"/>
        <v>0.44741332947337664</v>
      </c>
      <c r="K47" s="1"/>
      <c r="L47" s="1">
        <f t="shared" si="31"/>
        <v>-3938.7200000000012</v>
      </c>
      <c r="M47" s="1"/>
      <c r="N47" s="5">
        <f t="shared" si="32"/>
        <v>-0.10726139655061608</v>
      </c>
      <c r="O47" s="14"/>
      <c r="P47" s="1">
        <f>SUM(OSRRefP22_5x_0)</f>
        <v>229562.42</v>
      </c>
      <c r="Q47" s="1"/>
      <c r="R47" s="5">
        <f t="shared" si="33"/>
        <v>0.38108853315762325</v>
      </c>
      <c r="S47" s="1"/>
      <c r="T47" s="1">
        <f>SUM(OSRRefT22_5x_0)</f>
        <v>259868.84</v>
      </c>
      <c r="U47" s="1"/>
      <c r="V47" s="5">
        <f t="shared" si="34"/>
        <v>0.94057413970217818</v>
      </c>
      <c r="W47" s="1"/>
      <c r="X47" s="1">
        <f t="shared" si="35"/>
        <v>-30306.419999999984</v>
      </c>
      <c r="Y47" s="1"/>
      <c r="Z47" s="5">
        <f t="shared" si="36"/>
        <v>-0.11662198515220211</v>
      </c>
    </row>
    <row r="48" spans="1:26" s="24" customFormat="1" hidden="1" outlineLevel="2" x14ac:dyDescent="0.3">
      <c r="A48" s="27"/>
      <c r="B48" s="11" t="str">
        <f>CONCATENATE("          ", "6321", " - ", "BUILDING DEPRECIATION")</f>
        <v xml:space="preserve">          6321 - BUILDING DEPRECIATION</v>
      </c>
      <c r="C48" s="11"/>
      <c r="D48" s="7">
        <v>23539.4</v>
      </c>
      <c r="E48" s="2"/>
      <c r="F48" s="6">
        <f t="shared" si="29"/>
        <v>1.7465326288657117</v>
      </c>
      <c r="G48" s="2"/>
      <c r="H48" s="7">
        <v>23583.49</v>
      </c>
      <c r="I48" s="2"/>
      <c r="J48" s="6">
        <f t="shared" si="30"/>
        <v>0.28734611651561903</v>
      </c>
      <c r="K48" s="2"/>
      <c r="L48" s="7">
        <f t="shared" si="31"/>
        <v>-44.090000000000146</v>
      </c>
      <c r="M48" s="2"/>
      <c r="N48" s="6">
        <f t="shared" si="32"/>
        <v>-1.8695282165616769E-3</v>
      </c>
      <c r="O48" s="11"/>
      <c r="P48" s="7">
        <v>164863.94</v>
      </c>
      <c r="Q48" s="2"/>
      <c r="R48" s="6">
        <f t="shared" si="33"/>
        <v>0.27368485253460217</v>
      </c>
      <c r="S48" s="2"/>
      <c r="T48" s="7">
        <v>165868.62</v>
      </c>
      <c r="U48" s="2"/>
      <c r="V48" s="6">
        <f t="shared" si="34"/>
        <v>0.60034798539173651</v>
      </c>
      <c r="W48" s="2"/>
      <c r="X48" s="7">
        <f t="shared" si="35"/>
        <v>-1004.679999999993</v>
      </c>
      <c r="Y48" s="2"/>
      <c r="Z48" s="6">
        <f t="shared" si="36"/>
        <v>-6.0570830094323633E-3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9242.64</v>
      </c>
      <c r="E49" s="2"/>
      <c r="F49" s="6">
        <f t="shared" si="29"/>
        <v>0.68576821570895519</v>
      </c>
      <c r="G49" s="2"/>
      <c r="H49" s="7">
        <v>13137.27</v>
      </c>
      <c r="I49" s="2"/>
      <c r="J49" s="6">
        <f t="shared" si="30"/>
        <v>0.16006721295775758</v>
      </c>
      <c r="K49" s="2"/>
      <c r="L49" s="7">
        <f t="shared" si="31"/>
        <v>-3894.630000000001</v>
      </c>
      <c r="M49" s="2"/>
      <c r="N49" s="6">
        <f t="shared" si="32"/>
        <v>-0.2964565697439423</v>
      </c>
      <c r="O49" s="11"/>
      <c r="P49" s="7">
        <v>64698.48</v>
      </c>
      <c r="Q49" s="2"/>
      <c r="R49" s="6">
        <f t="shared" si="33"/>
        <v>0.10740368062302107</v>
      </c>
      <c r="S49" s="2"/>
      <c r="T49" s="7">
        <v>94000.22</v>
      </c>
      <c r="U49" s="2"/>
      <c r="V49" s="6">
        <f t="shared" si="34"/>
        <v>0.34022615431044173</v>
      </c>
      <c r="W49" s="2"/>
      <c r="X49" s="7">
        <f t="shared" si="35"/>
        <v>-29301.739999999998</v>
      </c>
      <c r="Y49" s="2"/>
      <c r="Z49" s="6">
        <f t="shared" si="36"/>
        <v>-0.3117199087406391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ref="F50:F67" si="37">IF(D$12=0,0,D50/D$12)</f>
        <v>0</v>
      </c>
      <c r="G50" s="1"/>
      <c r="H50" s="1">
        <f>SUM(OSRRefH22_6x_0)</f>
        <v>0</v>
      </c>
      <c r="I50" s="1"/>
      <c r="J50" s="5">
        <f t="shared" ref="J50:J67" si="38">IF(H$12=0,0,H50/H$12)</f>
        <v>0</v>
      </c>
      <c r="K50" s="1"/>
      <c r="L50" s="1">
        <f t="shared" ref="L50:L67" si="39">+D50-H50</f>
        <v>0</v>
      </c>
      <c r="M50" s="1"/>
      <c r="N50" s="5">
        <f t="shared" ref="N50:N67" si="40">IF(H50=0,0,L50/H50)</f>
        <v>0</v>
      </c>
      <c r="O50" s="14"/>
      <c r="P50" s="1">
        <f>SUM(OSRRefP22_6x_0)</f>
        <v>314.87</v>
      </c>
      <c r="Q50" s="1"/>
      <c r="R50" s="5">
        <f t="shared" ref="R50:R67" si="41">IF(P$12=0,0,P50/P$12)</f>
        <v>5.2270465886943007E-4</v>
      </c>
      <c r="S50" s="1"/>
      <c r="T50" s="1">
        <f>SUM(OSRRefT22_6x_0)</f>
        <v>10</v>
      </c>
      <c r="U50" s="1"/>
      <c r="V50" s="5">
        <f t="shared" ref="V50:V67" si="42">IF(T$12=0,0,T50/T$12)</f>
        <v>3.619418702535395E-5</v>
      </c>
      <c r="W50" s="1"/>
      <c r="X50" s="1">
        <f t="shared" ref="X50:X67" si="43">+P50-T50</f>
        <v>304.87</v>
      </c>
      <c r="Y50" s="1"/>
      <c r="Z50" s="5">
        <f t="shared" ref="Z50:Z67" si="44">IF(T50=0,0,X50/T50)</f>
        <v>30.487000000000002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7"/>
        <v>0</v>
      </c>
      <c r="G51" s="2"/>
      <c r="H51" s="7"/>
      <c r="I51" s="2"/>
      <c r="J51" s="6">
        <f t="shared" si="38"/>
        <v>0</v>
      </c>
      <c r="K51" s="2"/>
      <c r="L51" s="7">
        <f t="shared" si="39"/>
        <v>0</v>
      </c>
      <c r="M51" s="2"/>
      <c r="N51" s="6">
        <f t="shared" si="40"/>
        <v>0</v>
      </c>
      <c r="O51" s="11"/>
      <c r="P51" s="7">
        <v>314.87</v>
      </c>
      <c r="Q51" s="2"/>
      <c r="R51" s="6">
        <f t="shared" si="41"/>
        <v>5.2270465886943007E-4</v>
      </c>
      <c r="S51" s="2"/>
      <c r="T51" s="7">
        <v>10</v>
      </c>
      <c r="U51" s="2"/>
      <c r="V51" s="6">
        <f t="shared" si="42"/>
        <v>3.619418702535395E-5</v>
      </c>
      <c r="W51" s="2"/>
      <c r="X51" s="7">
        <f t="shared" si="43"/>
        <v>304.87</v>
      </c>
      <c r="Y51" s="2"/>
      <c r="Z51" s="6">
        <f t="shared" si="44"/>
        <v>30.487000000000002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958.04</v>
      </c>
      <c r="E52" s="1"/>
      <c r="F52" s="5">
        <f t="shared" si="37"/>
        <v>7.1082870411246946E-2</v>
      </c>
      <c r="G52" s="1"/>
      <c r="H52" s="1">
        <f>SUM(OSRRefH22_7x_0)</f>
        <v>91.26</v>
      </c>
      <c r="I52" s="1"/>
      <c r="J52" s="5">
        <f t="shared" si="38"/>
        <v>1.1119307020807944E-3</v>
      </c>
      <c r="K52" s="1"/>
      <c r="L52" s="1">
        <f t="shared" si="39"/>
        <v>866.78</v>
      </c>
      <c r="M52" s="1"/>
      <c r="N52" s="5">
        <f t="shared" si="40"/>
        <v>9.4979180363795734</v>
      </c>
      <c r="O52" s="14"/>
      <c r="P52" s="1">
        <f>SUM(OSRRefP22_7x_0)</f>
        <v>6326.19</v>
      </c>
      <c r="Q52" s="1"/>
      <c r="R52" s="5">
        <f t="shared" si="41"/>
        <v>1.050188644803633E-2</v>
      </c>
      <c r="S52" s="1"/>
      <c r="T52" s="1">
        <f>SUM(OSRRefT22_7x_0)</f>
        <v>4464.88</v>
      </c>
      <c r="U52" s="1"/>
      <c r="V52" s="5">
        <f t="shared" si="42"/>
        <v>1.6160270176576237E-2</v>
      </c>
      <c r="W52" s="1"/>
      <c r="X52" s="1">
        <f t="shared" si="43"/>
        <v>1861.3099999999995</v>
      </c>
      <c r="Y52" s="1"/>
      <c r="Z52" s="5">
        <f t="shared" si="44"/>
        <v>0.41687794520793381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7">
        <v>958.04</v>
      </c>
      <c r="E53" s="2"/>
      <c r="F53" s="6">
        <f t="shared" si="37"/>
        <v>7.1082870411246946E-2</v>
      </c>
      <c r="G53" s="2"/>
      <c r="H53" s="7">
        <v>91.26</v>
      </c>
      <c r="I53" s="2"/>
      <c r="J53" s="6">
        <f t="shared" si="38"/>
        <v>1.1119307020807944E-3</v>
      </c>
      <c r="K53" s="2"/>
      <c r="L53" s="7">
        <f t="shared" si="39"/>
        <v>866.78</v>
      </c>
      <c r="M53" s="2"/>
      <c r="N53" s="6">
        <f t="shared" si="40"/>
        <v>9.4979180363795734</v>
      </c>
      <c r="O53" s="11"/>
      <c r="P53" s="7">
        <v>6326.19</v>
      </c>
      <c r="Q53" s="2"/>
      <c r="R53" s="6">
        <f t="shared" si="41"/>
        <v>1.050188644803633E-2</v>
      </c>
      <c r="S53" s="2"/>
      <c r="T53" s="7">
        <v>4464.88</v>
      </c>
      <c r="U53" s="2"/>
      <c r="V53" s="6">
        <f t="shared" si="42"/>
        <v>1.6160270176576237E-2</v>
      </c>
      <c r="W53" s="2"/>
      <c r="X53" s="7">
        <f t="shared" si="43"/>
        <v>1861.3099999999995</v>
      </c>
      <c r="Y53" s="2"/>
      <c r="Z53" s="6">
        <f t="shared" si="44"/>
        <v>0.41687794520793381</v>
      </c>
    </row>
    <row r="54" spans="1:26" s="29" customFormat="1" outlineLevel="1" collapsed="1" x14ac:dyDescent="0.3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0</v>
      </c>
      <c r="E54" s="1"/>
      <c r="F54" s="5">
        <f t="shared" si="37"/>
        <v>0</v>
      </c>
      <c r="G54" s="1"/>
      <c r="H54" s="1">
        <f>SUM(OSRRefH22_8x_0)</f>
        <v>0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4"/>
      <c r="P54" s="1">
        <f>SUM(OSRRefP22_8x_0)</f>
        <v>0</v>
      </c>
      <c r="Q54" s="1"/>
      <c r="R54" s="5">
        <f t="shared" si="41"/>
        <v>0</v>
      </c>
      <c r="S54" s="1"/>
      <c r="T54" s="1">
        <f>SUM(OSRRefT22_8x_0)</f>
        <v>-5.41</v>
      </c>
      <c r="U54" s="1"/>
      <c r="V54" s="5">
        <f t="shared" si="42"/>
        <v>-1.958105518071649E-5</v>
      </c>
      <c r="W54" s="1"/>
      <c r="X54" s="1">
        <f t="shared" si="43"/>
        <v>5.41</v>
      </c>
      <c r="Y54" s="1"/>
      <c r="Z54" s="5">
        <f t="shared" si="44"/>
        <v>-1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7"/>
      <c r="E55" s="2"/>
      <c r="F55" s="6">
        <f t="shared" si="37"/>
        <v>0</v>
      </c>
      <c r="G55" s="2"/>
      <c r="H55" s="7"/>
      <c r="I55" s="2"/>
      <c r="J55" s="6">
        <f t="shared" si="38"/>
        <v>0</v>
      </c>
      <c r="K55" s="2"/>
      <c r="L55" s="7">
        <f t="shared" si="39"/>
        <v>0</v>
      </c>
      <c r="M55" s="2"/>
      <c r="N55" s="6">
        <f t="shared" si="40"/>
        <v>0</v>
      </c>
      <c r="O55" s="11"/>
      <c r="P55" s="7"/>
      <c r="Q55" s="2"/>
      <c r="R55" s="6">
        <f t="shared" si="41"/>
        <v>0</v>
      </c>
      <c r="S55" s="2"/>
      <c r="T55" s="7">
        <v>-5.41</v>
      </c>
      <c r="U55" s="2"/>
      <c r="V55" s="6">
        <f t="shared" si="42"/>
        <v>-1.958105518071649E-5</v>
      </c>
      <c r="W55" s="2"/>
      <c r="X55" s="7">
        <f t="shared" si="43"/>
        <v>5.41</v>
      </c>
      <c r="Y55" s="2"/>
      <c r="Z55" s="6">
        <f t="shared" si="44"/>
        <v>-1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1226.18</v>
      </c>
      <c r="E56" s="1"/>
      <c r="F56" s="5">
        <f t="shared" si="37"/>
        <v>9.0977823515576359E-2</v>
      </c>
      <c r="G56" s="1"/>
      <c r="H56" s="1">
        <f>SUM(OSRRefH22_9x_0)</f>
        <v>397</v>
      </c>
      <c r="I56" s="1"/>
      <c r="J56" s="5">
        <f t="shared" si="38"/>
        <v>4.8371300539784721E-3</v>
      </c>
      <c r="K56" s="1"/>
      <c r="L56" s="1">
        <f t="shared" si="39"/>
        <v>829.18000000000006</v>
      </c>
      <c r="M56" s="1"/>
      <c r="N56" s="5">
        <f t="shared" si="40"/>
        <v>2.0886146095717888</v>
      </c>
      <c r="O56" s="14"/>
      <c r="P56" s="1">
        <f>SUM(OSRRefP22_9x_0)</f>
        <v>16026.44</v>
      </c>
      <c r="Q56" s="1"/>
      <c r="R56" s="5">
        <f t="shared" si="41"/>
        <v>2.6604931727669798E-2</v>
      </c>
      <c r="S56" s="1"/>
      <c r="T56" s="1">
        <f>SUM(OSRRefT22_9x_0)</f>
        <v>5077.45</v>
      </c>
      <c r="U56" s="1"/>
      <c r="V56" s="5">
        <f t="shared" si="42"/>
        <v>1.8377417491188344E-2</v>
      </c>
      <c r="W56" s="1"/>
      <c r="X56" s="1">
        <f t="shared" si="43"/>
        <v>10948.990000000002</v>
      </c>
      <c r="Y56" s="1"/>
      <c r="Z56" s="5">
        <f t="shared" si="44"/>
        <v>2.156395434716246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7">
        <v>1226.18</v>
      </c>
      <c r="E57" s="2"/>
      <c r="F57" s="6">
        <f t="shared" si="37"/>
        <v>9.0977823515576359E-2</v>
      </c>
      <c r="G57" s="2"/>
      <c r="H57" s="7">
        <v>397</v>
      </c>
      <c r="I57" s="2"/>
      <c r="J57" s="6">
        <f t="shared" si="38"/>
        <v>4.8371300539784721E-3</v>
      </c>
      <c r="K57" s="2"/>
      <c r="L57" s="7">
        <f t="shared" si="39"/>
        <v>829.18000000000006</v>
      </c>
      <c r="M57" s="2"/>
      <c r="N57" s="6">
        <f t="shared" si="40"/>
        <v>2.0886146095717888</v>
      </c>
      <c r="O57" s="11"/>
      <c r="P57" s="7">
        <v>16026.44</v>
      </c>
      <c r="Q57" s="2"/>
      <c r="R57" s="6">
        <f t="shared" si="41"/>
        <v>2.6604931727669798E-2</v>
      </c>
      <c r="S57" s="2"/>
      <c r="T57" s="7">
        <v>5077.45</v>
      </c>
      <c r="U57" s="2"/>
      <c r="V57" s="6">
        <f t="shared" si="42"/>
        <v>1.8377417491188344E-2</v>
      </c>
      <c r="W57" s="2"/>
      <c r="X57" s="7">
        <f t="shared" si="43"/>
        <v>10948.990000000002</v>
      </c>
      <c r="Y57" s="2"/>
      <c r="Z57" s="6">
        <f t="shared" si="44"/>
        <v>2.156395434716246</v>
      </c>
    </row>
    <row r="58" spans="1:26" s="29" customFormat="1" outlineLevel="1" collapsed="1" x14ac:dyDescent="0.3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5756.21</v>
      </c>
      <c r="E58" s="1"/>
      <c r="F58" s="5">
        <f t="shared" si="37"/>
        <v>0.42708856570698905</v>
      </c>
      <c r="G58" s="1"/>
      <c r="H58" s="1">
        <f>SUM(OSRRefH22_10x_0)</f>
        <v>4240.13</v>
      </c>
      <c r="I58" s="1"/>
      <c r="J58" s="5">
        <f t="shared" si="38"/>
        <v>5.1662620291626549E-2</v>
      </c>
      <c r="K58" s="1"/>
      <c r="L58" s="1">
        <f t="shared" si="39"/>
        <v>1516.08</v>
      </c>
      <c r="M58" s="1"/>
      <c r="N58" s="5">
        <f t="shared" si="40"/>
        <v>0.35755507496232425</v>
      </c>
      <c r="O58" s="14"/>
      <c r="P58" s="1">
        <f>SUM(OSRRefP22_10x_0)</f>
        <v>47176.47</v>
      </c>
      <c r="Q58" s="1"/>
      <c r="R58" s="5">
        <f t="shared" si="41"/>
        <v>7.8316005519782461E-2</v>
      </c>
      <c r="S58" s="1"/>
      <c r="T58" s="1">
        <f>SUM(OSRRefT22_10x_0)</f>
        <v>35792.910000000003</v>
      </c>
      <c r="U58" s="1"/>
      <c r="V58" s="5">
        <f t="shared" si="42"/>
        <v>0.1295495278721662</v>
      </c>
      <c r="W58" s="1"/>
      <c r="X58" s="1">
        <f t="shared" si="43"/>
        <v>11383.559999999998</v>
      </c>
      <c r="Y58" s="1"/>
      <c r="Z58" s="5">
        <f t="shared" si="44"/>
        <v>0.31803952235233168</v>
      </c>
    </row>
    <row r="59" spans="1:26" s="24" customFormat="1" hidden="1" outlineLevel="2" x14ac:dyDescent="0.3">
      <c r="A59" s="27"/>
      <c r="B59" s="11" t="str">
        <f>CONCATENATE("          ", "6314", " - ", "LIABILITY INSURANCE")</f>
        <v xml:space="preserve">          6314 - LIABILITY INSURANCE</v>
      </c>
      <c r="C59" s="11"/>
      <c r="D59" s="7">
        <v>5756.21</v>
      </c>
      <c r="E59" s="2"/>
      <c r="F59" s="6">
        <f t="shared" si="37"/>
        <v>0.42708856570698905</v>
      </c>
      <c r="G59" s="2"/>
      <c r="H59" s="7">
        <v>4240.13</v>
      </c>
      <c r="I59" s="2"/>
      <c r="J59" s="6">
        <f t="shared" si="38"/>
        <v>5.1662620291626549E-2</v>
      </c>
      <c r="K59" s="2"/>
      <c r="L59" s="7">
        <f t="shared" si="39"/>
        <v>1516.08</v>
      </c>
      <c r="M59" s="2"/>
      <c r="N59" s="6">
        <f t="shared" si="40"/>
        <v>0.35755507496232425</v>
      </c>
      <c r="O59" s="11"/>
      <c r="P59" s="7">
        <v>47176.47</v>
      </c>
      <c r="Q59" s="2"/>
      <c r="R59" s="6">
        <f t="shared" si="41"/>
        <v>7.8316005519782461E-2</v>
      </c>
      <c r="S59" s="2"/>
      <c r="T59" s="7">
        <v>35792.910000000003</v>
      </c>
      <c r="U59" s="2"/>
      <c r="V59" s="6">
        <f t="shared" si="42"/>
        <v>0.1295495278721662</v>
      </c>
      <c r="W59" s="2"/>
      <c r="X59" s="7">
        <f t="shared" si="43"/>
        <v>11383.559999999998</v>
      </c>
      <c r="Y59" s="2"/>
      <c r="Z59" s="6">
        <f t="shared" si="44"/>
        <v>0.31803952235233168</v>
      </c>
    </row>
    <row r="60" spans="1:26" s="29" customFormat="1" outlineLevel="1" collapsed="1" x14ac:dyDescent="0.3">
      <c r="A60" s="28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SUM(OSRRefD22_11x_0)</f>
        <v>7253</v>
      </c>
      <c r="E60" s="1"/>
      <c r="F60" s="5">
        <f t="shared" si="37"/>
        <v>0.53814460679384379</v>
      </c>
      <c r="G60" s="1"/>
      <c r="H60" s="1">
        <f>SUM(OSRRefH22_11x_0)</f>
        <v>7510</v>
      </c>
      <c r="I60" s="1"/>
      <c r="J60" s="5">
        <f t="shared" si="38"/>
        <v>9.1503392204983186E-2</v>
      </c>
      <c r="K60" s="1"/>
      <c r="L60" s="1">
        <f t="shared" si="39"/>
        <v>-257</v>
      </c>
      <c r="M60" s="1"/>
      <c r="N60" s="5">
        <f t="shared" si="40"/>
        <v>-3.4221038615179764E-2</v>
      </c>
      <c r="O60" s="14"/>
      <c r="P60" s="1">
        <f>SUM(OSRRefP22_11x_0)</f>
        <v>50257</v>
      </c>
      <c r="Q60" s="1"/>
      <c r="R60" s="5">
        <f t="shared" si="41"/>
        <v>8.3429885479089611E-2</v>
      </c>
      <c r="S60" s="1"/>
      <c r="T60" s="1">
        <f>SUM(OSRRefT22_11x_0)</f>
        <v>52083.15</v>
      </c>
      <c r="U60" s="1"/>
      <c r="V60" s="5">
        <f t="shared" si="42"/>
        <v>0.18851072719695638</v>
      </c>
      <c r="W60" s="1"/>
      <c r="X60" s="1">
        <f t="shared" si="43"/>
        <v>-1826.1500000000015</v>
      </c>
      <c r="Y60" s="1"/>
      <c r="Z60" s="5">
        <f t="shared" si="44"/>
        <v>-3.5062203418956064E-2</v>
      </c>
    </row>
    <row r="61" spans="1:26" s="24" customFormat="1" hidden="1" outlineLevel="2" x14ac:dyDescent="0.3">
      <c r="A61" s="27"/>
      <c r="B61" s="11" t="str">
        <f>CONCATENATE("          ", "6401", " - ", "INTEREST EXPENSE")</f>
        <v xml:space="preserve">          6401 - INTEREST EXPENSE</v>
      </c>
      <c r="C61" s="11"/>
      <c r="D61" s="7">
        <v>7253</v>
      </c>
      <c r="E61" s="2"/>
      <c r="F61" s="6">
        <f t="shared" si="37"/>
        <v>0.53814460679384379</v>
      </c>
      <c r="G61" s="2"/>
      <c r="H61" s="7">
        <v>7510</v>
      </c>
      <c r="I61" s="2"/>
      <c r="J61" s="6">
        <f t="shared" si="38"/>
        <v>9.1503392204983186E-2</v>
      </c>
      <c r="K61" s="2"/>
      <c r="L61" s="7">
        <f t="shared" si="39"/>
        <v>-257</v>
      </c>
      <c r="M61" s="2"/>
      <c r="N61" s="6">
        <f t="shared" si="40"/>
        <v>-3.4221038615179764E-2</v>
      </c>
      <c r="O61" s="11"/>
      <c r="P61" s="7">
        <v>50257</v>
      </c>
      <c r="Q61" s="2"/>
      <c r="R61" s="6">
        <f t="shared" si="41"/>
        <v>8.3429885479089611E-2</v>
      </c>
      <c r="S61" s="2"/>
      <c r="T61" s="7">
        <v>52083.15</v>
      </c>
      <c r="U61" s="2"/>
      <c r="V61" s="6">
        <f t="shared" si="42"/>
        <v>0.18851072719695638</v>
      </c>
      <c r="W61" s="2"/>
      <c r="X61" s="7">
        <f t="shared" si="43"/>
        <v>-1826.1500000000015</v>
      </c>
      <c r="Y61" s="2"/>
      <c r="Z61" s="6">
        <f t="shared" si="44"/>
        <v>-3.5062203418956064E-2</v>
      </c>
    </row>
    <row r="62" spans="1:26" s="29" customFormat="1" outlineLevel="1" collapsed="1" x14ac:dyDescent="0.3">
      <c r="A62" s="28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1850</v>
      </c>
      <c r="E62" s="1"/>
      <c r="F62" s="5">
        <f t="shared" si="37"/>
        <v>0.13726285986055575</v>
      </c>
      <c r="G62" s="1"/>
      <c r="H62" s="1">
        <f>SUM(OSRRefH22_12x_0)</f>
        <v>0</v>
      </c>
      <c r="I62" s="1"/>
      <c r="J62" s="5">
        <f t="shared" si="38"/>
        <v>0</v>
      </c>
      <c r="K62" s="1"/>
      <c r="L62" s="1">
        <f t="shared" si="39"/>
        <v>1850</v>
      </c>
      <c r="M62" s="1"/>
      <c r="N62" s="5">
        <f t="shared" si="40"/>
        <v>0</v>
      </c>
      <c r="O62" s="14"/>
      <c r="P62" s="1">
        <f>SUM(OSRRefP22_12x_0)</f>
        <v>12950</v>
      </c>
      <c r="Q62" s="1"/>
      <c r="R62" s="5">
        <f t="shared" si="41"/>
        <v>2.1497841434112871E-2</v>
      </c>
      <c r="S62" s="1"/>
      <c r="T62" s="1">
        <f>SUM(OSRRefT22_12x_0)</f>
        <v>11100</v>
      </c>
      <c r="U62" s="1"/>
      <c r="V62" s="5">
        <f t="shared" si="42"/>
        <v>4.0175547598142888E-2</v>
      </c>
      <c r="W62" s="1"/>
      <c r="X62" s="1">
        <f t="shared" si="43"/>
        <v>1850</v>
      </c>
      <c r="Y62" s="1"/>
      <c r="Z62" s="5">
        <f t="shared" si="44"/>
        <v>0.16666666666666666</v>
      </c>
    </row>
    <row r="63" spans="1:26" s="24" customFormat="1" hidden="1" outlineLevel="2" x14ac:dyDescent="0.3">
      <c r="A63" s="27"/>
      <c r="B63" s="11" t="str">
        <f>CONCATENATE("          ", "6273", " - ", "RENT")</f>
        <v xml:space="preserve">          6273 - RENT</v>
      </c>
      <c r="C63" s="11"/>
      <c r="D63" s="7">
        <v>1850</v>
      </c>
      <c r="E63" s="2"/>
      <c r="F63" s="6">
        <f t="shared" si="37"/>
        <v>0.13726285986055575</v>
      </c>
      <c r="G63" s="2"/>
      <c r="H63" s="7"/>
      <c r="I63" s="2"/>
      <c r="J63" s="6">
        <f t="shared" si="38"/>
        <v>0</v>
      </c>
      <c r="K63" s="2"/>
      <c r="L63" s="7">
        <f t="shared" si="39"/>
        <v>1850</v>
      </c>
      <c r="M63" s="2"/>
      <c r="N63" s="6">
        <f t="shared" si="40"/>
        <v>0</v>
      </c>
      <c r="O63" s="11"/>
      <c r="P63" s="7">
        <v>12950</v>
      </c>
      <c r="Q63" s="2"/>
      <c r="R63" s="6">
        <f t="shared" si="41"/>
        <v>2.1497841434112871E-2</v>
      </c>
      <c r="S63" s="2"/>
      <c r="T63" s="7">
        <v>11100</v>
      </c>
      <c r="U63" s="2"/>
      <c r="V63" s="6">
        <f t="shared" si="42"/>
        <v>4.0175547598142888E-2</v>
      </c>
      <c r="W63" s="2"/>
      <c r="X63" s="7">
        <f t="shared" si="43"/>
        <v>1850</v>
      </c>
      <c r="Y63" s="2"/>
      <c r="Z63" s="6">
        <f t="shared" si="44"/>
        <v>0.16666666666666666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4310.3500000000004</v>
      </c>
      <c r="E64" s="1"/>
      <c r="F64" s="5">
        <f t="shared" si="37"/>
        <v>0.31981133405402518</v>
      </c>
      <c r="G64" s="1"/>
      <c r="H64" s="1">
        <f>SUM(OSRRefH22_13x_0)</f>
        <v>2909.21</v>
      </c>
      <c r="I64" s="1"/>
      <c r="J64" s="5">
        <f t="shared" si="38"/>
        <v>3.5446415930314133E-2</v>
      </c>
      <c r="K64" s="1"/>
      <c r="L64" s="1">
        <f t="shared" si="39"/>
        <v>1401.1400000000003</v>
      </c>
      <c r="M64" s="1"/>
      <c r="N64" s="5">
        <f t="shared" si="40"/>
        <v>0.48162215859288271</v>
      </c>
      <c r="O64" s="14"/>
      <c r="P64" s="1">
        <f>SUM(OSRRefP22_13x_0)</f>
        <v>57198.36</v>
      </c>
      <c r="Q64" s="1"/>
      <c r="R64" s="5">
        <f t="shared" si="41"/>
        <v>9.4952994098170207E-2</v>
      </c>
      <c r="S64" s="1"/>
      <c r="T64" s="1">
        <f>SUM(OSRRefT22_13x_0)</f>
        <v>22768.190000000002</v>
      </c>
      <c r="U64" s="1"/>
      <c r="V64" s="5">
        <f t="shared" si="42"/>
        <v>8.2407612708879377E-2</v>
      </c>
      <c r="W64" s="1"/>
      <c r="X64" s="1">
        <f t="shared" si="43"/>
        <v>34430.17</v>
      </c>
      <c r="Y64" s="1"/>
      <c r="Z64" s="5">
        <f t="shared" si="44"/>
        <v>1.5122049666662125</v>
      </c>
    </row>
    <row r="65" spans="1:26" s="24" customFormat="1" hidden="1" outlineLevel="2" x14ac:dyDescent="0.3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7">
        <v>481.09</v>
      </c>
      <c r="E65" s="2"/>
      <c r="F65" s="6">
        <f t="shared" si="37"/>
        <v>3.5695021216386361E-2</v>
      </c>
      <c r="G65" s="2"/>
      <c r="H65" s="7"/>
      <c r="I65" s="2"/>
      <c r="J65" s="6">
        <f t="shared" si="38"/>
        <v>0</v>
      </c>
      <c r="K65" s="2"/>
      <c r="L65" s="7">
        <f t="shared" si="39"/>
        <v>481.09</v>
      </c>
      <c r="M65" s="2"/>
      <c r="N65" s="6">
        <f t="shared" si="40"/>
        <v>0</v>
      </c>
      <c r="O65" s="11"/>
      <c r="P65" s="7">
        <v>6817.17</v>
      </c>
      <c r="Q65" s="2"/>
      <c r="R65" s="6">
        <f t="shared" si="41"/>
        <v>1.1316945149759941E-2</v>
      </c>
      <c r="S65" s="2"/>
      <c r="T65" s="7"/>
      <c r="U65" s="2"/>
      <c r="V65" s="6">
        <f t="shared" si="42"/>
        <v>0</v>
      </c>
      <c r="W65" s="2"/>
      <c r="X65" s="7">
        <f t="shared" si="43"/>
        <v>6817.17</v>
      </c>
      <c r="Y65" s="2"/>
      <c r="Z65" s="6">
        <f t="shared" si="44"/>
        <v>0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7">
        <v>2634.51</v>
      </c>
      <c r="E66" s="2"/>
      <c r="F66" s="6">
        <f t="shared" si="37"/>
        <v>0.19547047401688258</v>
      </c>
      <c r="G66" s="2"/>
      <c r="H66" s="7"/>
      <c r="I66" s="2"/>
      <c r="J66" s="6">
        <f t="shared" si="38"/>
        <v>0</v>
      </c>
      <c r="K66" s="2"/>
      <c r="L66" s="7">
        <f t="shared" si="39"/>
        <v>2634.51</v>
      </c>
      <c r="M66" s="2"/>
      <c r="N66" s="6">
        <f t="shared" si="40"/>
        <v>0</v>
      </c>
      <c r="O66" s="11"/>
      <c r="P66" s="7">
        <v>13741.14</v>
      </c>
      <c r="Q66" s="2"/>
      <c r="R66" s="6">
        <f t="shared" si="41"/>
        <v>2.2811185238914726E-2</v>
      </c>
      <c r="S66" s="2"/>
      <c r="T66" s="7">
        <v>11021.44</v>
      </c>
      <c r="U66" s="2"/>
      <c r="V66" s="6">
        <f t="shared" si="42"/>
        <v>3.9891206064871711E-2</v>
      </c>
      <c r="W66" s="2"/>
      <c r="X66" s="7">
        <f t="shared" si="43"/>
        <v>2719.6999999999989</v>
      </c>
      <c r="Y66" s="2"/>
      <c r="Z66" s="6">
        <f t="shared" si="44"/>
        <v>0.2467644881249636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1194.75</v>
      </c>
      <c r="E67" s="2"/>
      <c r="F67" s="6">
        <f t="shared" si="37"/>
        <v>8.8645838820756218E-2</v>
      </c>
      <c r="G67" s="2"/>
      <c r="H67" s="7">
        <v>2909.21</v>
      </c>
      <c r="I67" s="2"/>
      <c r="J67" s="6">
        <f t="shared" si="38"/>
        <v>3.5446415930314133E-2</v>
      </c>
      <c r="K67" s="2"/>
      <c r="L67" s="7">
        <f t="shared" si="39"/>
        <v>-1714.46</v>
      </c>
      <c r="M67" s="2"/>
      <c r="N67" s="6">
        <f t="shared" si="40"/>
        <v>-0.58932149965110803</v>
      </c>
      <c r="O67" s="11"/>
      <c r="P67" s="7">
        <v>36640.050000000003</v>
      </c>
      <c r="Q67" s="2"/>
      <c r="R67" s="6">
        <f t="shared" si="41"/>
        <v>6.0824863709495545E-2</v>
      </c>
      <c r="S67" s="2"/>
      <c r="T67" s="7">
        <v>11746.75</v>
      </c>
      <c r="U67" s="2"/>
      <c r="V67" s="6">
        <f t="shared" si="42"/>
        <v>4.2516406644007652E-2</v>
      </c>
      <c r="W67" s="2"/>
      <c r="X67" s="7">
        <f t="shared" si="43"/>
        <v>24893.300000000003</v>
      </c>
      <c r="Y67" s="2"/>
      <c r="Z67" s="6">
        <f t="shared" si="44"/>
        <v>2.1191648753910659</v>
      </c>
    </row>
    <row r="68" spans="1:26" s="29" customFormat="1" outlineLevel="1" collapsed="1" x14ac:dyDescent="0.3">
      <c r="A68" s="28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SUM(OSRRefD22_14x_0)</f>
        <v>0</v>
      </c>
      <c r="E68" s="1"/>
      <c r="F68" s="5">
        <f t="shared" ref="F68:F74" si="45">IF(D$12=0,0,D68/D$12)</f>
        <v>0</v>
      </c>
      <c r="G68" s="1"/>
      <c r="H68" s="1">
        <f>SUM(OSRRefH22_14x_0)</f>
        <v>0</v>
      </c>
      <c r="I68" s="1"/>
      <c r="J68" s="5">
        <f t="shared" ref="J68:J74" si="46">IF(H$12=0,0,H68/H$12)</f>
        <v>0</v>
      </c>
      <c r="K68" s="1"/>
      <c r="L68" s="1">
        <f t="shared" ref="L68:L74" si="47">+D68-H68</f>
        <v>0</v>
      </c>
      <c r="M68" s="1"/>
      <c r="N68" s="5">
        <f t="shared" ref="N68:N74" si="48">IF(H68=0,0,L68/H68)</f>
        <v>0</v>
      </c>
      <c r="O68" s="14"/>
      <c r="P68" s="1">
        <f>SUM(OSRRefP22_14x_0)</f>
        <v>1844.91</v>
      </c>
      <c r="Q68" s="1"/>
      <c r="R68" s="5">
        <f t="shared" ref="R68:R74" si="49">IF(P$12=0,0,P68/P$12)</f>
        <v>3.0626704741474266E-3</v>
      </c>
      <c r="S68" s="1"/>
      <c r="T68" s="1">
        <f>SUM(OSRRefT22_14x_0)</f>
        <v>0</v>
      </c>
      <c r="U68" s="1"/>
      <c r="V68" s="5">
        <f t="shared" ref="V68:V74" si="50">IF(T$12=0,0,T68/T$12)</f>
        <v>0</v>
      </c>
      <c r="W68" s="1"/>
      <c r="X68" s="1">
        <f t="shared" ref="X68:X74" si="51">+P68-T68</f>
        <v>1844.91</v>
      </c>
      <c r="Y68" s="1"/>
      <c r="Z68" s="5">
        <f t="shared" ref="Z68:Z74" si="52">IF(T68=0,0,X68/T68)</f>
        <v>0</v>
      </c>
    </row>
    <row r="69" spans="1:26" s="24" customFormat="1" hidden="1" outlineLevel="2" x14ac:dyDescent="0.3">
      <c r="A69" s="27"/>
      <c r="B69" s="11" t="str">
        <f>CONCATENATE("          ", "6254", " - ", "ROYALTY &amp; COMMISSIONS")</f>
        <v xml:space="preserve">          6254 - ROYALTY &amp; COMMISSIONS</v>
      </c>
      <c r="C69" s="11"/>
      <c r="D69" s="7"/>
      <c r="E69" s="2"/>
      <c r="F69" s="6">
        <f t="shared" si="45"/>
        <v>0</v>
      </c>
      <c r="G69" s="2"/>
      <c r="H69" s="7"/>
      <c r="I69" s="2"/>
      <c r="J69" s="6">
        <f t="shared" si="46"/>
        <v>0</v>
      </c>
      <c r="K69" s="2"/>
      <c r="L69" s="7">
        <f t="shared" si="47"/>
        <v>0</v>
      </c>
      <c r="M69" s="2"/>
      <c r="N69" s="6">
        <f t="shared" si="48"/>
        <v>0</v>
      </c>
      <c r="O69" s="11"/>
      <c r="P69" s="7">
        <v>1844.91</v>
      </c>
      <c r="Q69" s="2"/>
      <c r="R69" s="6">
        <f t="shared" si="49"/>
        <v>3.0626704741474266E-3</v>
      </c>
      <c r="S69" s="2"/>
      <c r="T69" s="7"/>
      <c r="U69" s="2"/>
      <c r="V69" s="6">
        <f t="shared" si="50"/>
        <v>0</v>
      </c>
      <c r="W69" s="2"/>
      <c r="X69" s="7">
        <f t="shared" si="51"/>
        <v>1844.91</v>
      </c>
      <c r="Y69" s="2"/>
      <c r="Z69" s="6">
        <f t="shared" si="52"/>
        <v>0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SUM(OSRRefD22_15x_0)</f>
        <v>4215.22</v>
      </c>
      <c r="E70" s="1"/>
      <c r="F70" s="5">
        <f t="shared" si="45"/>
        <v>0.31275305521157398</v>
      </c>
      <c r="G70" s="1"/>
      <c r="H70" s="1">
        <f>SUM(OSRRefH22_15x_0)</f>
        <v>7309.42</v>
      </c>
      <c r="I70" s="1"/>
      <c r="J70" s="5">
        <f t="shared" si="46"/>
        <v>8.905948402808897E-2</v>
      </c>
      <c r="K70" s="1"/>
      <c r="L70" s="1">
        <f t="shared" si="47"/>
        <v>-3094.2</v>
      </c>
      <c r="M70" s="1"/>
      <c r="N70" s="5">
        <f t="shared" si="48"/>
        <v>-0.42331676111100469</v>
      </c>
      <c r="O70" s="14"/>
      <c r="P70" s="1">
        <f>SUM(OSRRefP22_15x_0)</f>
        <v>46132.28</v>
      </c>
      <c r="Q70" s="1"/>
      <c r="R70" s="5">
        <f t="shared" si="49"/>
        <v>7.6582582272903196E-2</v>
      </c>
      <c r="S70" s="1"/>
      <c r="T70" s="1">
        <f>SUM(OSRRefT22_15x_0)</f>
        <v>43998.68</v>
      </c>
      <c r="U70" s="1"/>
      <c r="V70" s="5">
        <f t="shared" si="50"/>
        <v>0.15924964527887003</v>
      </c>
      <c r="W70" s="1"/>
      <c r="X70" s="1">
        <f t="shared" si="51"/>
        <v>2133.5999999999985</v>
      </c>
      <c r="Y70" s="1"/>
      <c r="Z70" s="5">
        <f t="shared" si="52"/>
        <v>4.8492363861824914E-2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670.1</v>
      </c>
      <c r="E71" s="2"/>
      <c r="F71" s="6">
        <f t="shared" si="45"/>
        <v>4.9718833725707255E-2</v>
      </c>
      <c r="G71" s="2"/>
      <c r="H71" s="7">
        <v>1940.42</v>
      </c>
      <c r="I71" s="2"/>
      <c r="J71" s="6">
        <f t="shared" si="46"/>
        <v>2.3642478335871301E-2</v>
      </c>
      <c r="K71" s="2"/>
      <c r="L71" s="7">
        <f t="shared" si="47"/>
        <v>-1270.3200000000002</v>
      </c>
      <c r="M71" s="2"/>
      <c r="N71" s="6">
        <f t="shared" si="48"/>
        <v>-0.65466239267787396</v>
      </c>
      <c r="O71" s="11"/>
      <c r="P71" s="7">
        <v>7251.86</v>
      </c>
      <c r="Q71" s="2"/>
      <c r="R71" s="6">
        <f t="shared" si="49"/>
        <v>1.2038558794006622E-2</v>
      </c>
      <c r="S71" s="2"/>
      <c r="T71" s="7">
        <v>6198.11</v>
      </c>
      <c r="U71" s="2"/>
      <c r="V71" s="6">
        <f t="shared" si="50"/>
        <v>2.2433555254371657E-2</v>
      </c>
      <c r="W71" s="2"/>
      <c r="X71" s="7">
        <f t="shared" si="51"/>
        <v>1053.75</v>
      </c>
      <c r="Y71" s="2"/>
      <c r="Z71" s="6">
        <f t="shared" si="52"/>
        <v>0.17001150350671415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45"/>
        <v>0</v>
      </c>
      <c r="G72" s="2"/>
      <c r="H72" s="7">
        <v>5369</v>
      </c>
      <c r="I72" s="2"/>
      <c r="J72" s="6">
        <f t="shared" si="46"/>
        <v>6.5417005692217672E-2</v>
      </c>
      <c r="K72" s="2"/>
      <c r="L72" s="7">
        <f t="shared" si="47"/>
        <v>-5369</v>
      </c>
      <c r="M72" s="2"/>
      <c r="N72" s="6">
        <f t="shared" si="48"/>
        <v>-1</v>
      </c>
      <c r="O72" s="11"/>
      <c r="P72" s="7"/>
      <c r="Q72" s="2"/>
      <c r="R72" s="6">
        <f t="shared" si="49"/>
        <v>0</v>
      </c>
      <c r="S72" s="2"/>
      <c r="T72" s="7">
        <v>24237</v>
      </c>
      <c r="U72" s="2"/>
      <c r="V72" s="6">
        <f t="shared" si="50"/>
        <v>8.7723851093350375E-2</v>
      </c>
      <c r="W72" s="2"/>
      <c r="X72" s="7">
        <f t="shared" si="51"/>
        <v>-24237</v>
      </c>
      <c r="Y72" s="2"/>
      <c r="Z72" s="6">
        <f t="shared" si="52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3385.52</v>
      </c>
      <c r="E73" s="2"/>
      <c r="F73" s="6">
        <f t="shared" si="45"/>
        <v>0.25119251746762633</v>
      </c>
      <c r="G73" s="2"/>
      <c r="H73" s="7">
        <v>0</v>
      </c>
      <c r="I73" s="2"/>
      <c r="J73" s="6">
        <f t="shared" si="46"/>
        <v>0</v>
      </c>
      <c r="K73" s="2"/>
      <c r="L73" s="7">
        <f t="shared" si="47"/>
        <v>3385.52</v>
      </c>
      <c r="M73" s="2"/>
      <c r="N73" s="6">
        <f t="shared" si="48"/>
        <v>0</v>
      </c>
      <c r="O73" s="11"/>
      <c r="P73" s="7">
        <v>36333.32</v>
      </c>
      <c r="Q73" s="2"/>
      <c r="R73" s="6">
        <f t="shared" si="49"/>
        <v>6.0315671979527551E-2</v>
      </c>
      <c r="S73" s="2"/>
      <c r="T73" s="7">
        <v>12770.81</v>
      </c>
      <c r="U73" s="2"/>
      <c r="V73" s="6">
        <f t="shared" si="50"/>
        <v>4.6222908560526049E-2</v>
      </c>
      <c r="W73" s="2"/>
      <c r="X73" s="7">
        <f t="shared" si="51"/>
        <v>23562.510000000002</v>
      </c>
      <c r="Y73" s="2"/>
      <c r="Z73" s="6">
        <f t="shared" si="52"/>
        <v>1.8450286238695903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7">
        <v>159.6</v>
      </c>
      <c r="E74" s="2"/>
      <c r="F74" s="6">
        <f t="shared" si="45"/>
        <v>1.1841704018240378E-2</v>
      </c>
      <c r="G74" s="2"/>
      <c r="H74" s="7"/>
      <c r="I74" s="2"/>
      <c r="J74" s="6">
        <f t="shared" si="46"/>
        <v>0</v>
      </c>
      <c r="K74" s="2"/>
      <c r="L74" s="7">
        <f t="shared" si="47"/>
        <v>159.6</v>
      </c>
      <c r="M74" s="2"/>
      <c r="N74" s="6">
        <f t="shared" si="48"/>
        <v>0</v>
      </c>
      <c r="O74" s="11"/>
      <c r="P74" s="7">
        <v>2547.1</v>
      </c>
      <c r="Q74" s="2"/>
      <c r="R74" s="6">
        <f t="shared" si="49"/>
        <v>4.2283514993690261E-3</v>
      </c>
      <c r="S74" s="2"/>
      <c r="T74" s="7">
        <v>792.76</v>
      </c>
      <c r="U74" s="2"/>
      <c r="V74" s="6">
        <f t="shared" si="50"/>
        <v>2.86933037062196E-3</v>
      </c>
      <c r="W74" s="2"/>
      <c r="X74" s="7">
        <f t="shared" si="51"/>
        <v>1754.34</v>
      </c>
      <c r="Y74" s="2"/>
      <c r="Z74" s="6">
        <f t="shared" si="52"/>
        <v>2.2129522175689993</v>
      </c>
    </row>
    <row r="75" spans="1:26" s="29" customFormat="1" outlineLevel="1" collapsed="1" x14ac:dyDescent="0.3">
      <c r="A75" s="28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SUM(OSRRefD22_16x_0)</f>
        <v>560.5</v>
      </c>
      <c r="E75" s="1"/>
      <c r="F75" s="5">
        <f t="shared" ref="F75:F86" si="53">IF(D$12=0,0,D75/D$12)</f>
        <v>4.1586936730725138E-2</v>
      </c>
      <c r="G75" s="1"/>
      <c r="H75" s="1">
        <f>SUM(OSRRefH22_16x_0)</f>
        <v>0</v>
      </c>
      <c r="I75" s="1"/>
      <c r="J75" s="5">
        <f t="shared" ref="J75:J86" si="54">IF(H$12=0,0,H75/H$12)</f>
        <v>0</v>
      </c>
      <c r="K75" s="1"/>
      <c r="L75" s="1">
        <f t="shared" ref="L75:L86" si="55">+D75-H75</f>
        <v>560.5</v>
      </c>
      <c r="M75" s="1"/>
      <c r="N75" s="5">
        <f t="shared" ref="N75:N86" si="56">IF(H75=0,0,L75/H75)</f>
        <v>0</v>
      </c>
      <c r="O75" s="14"/>
      <c r="P75" s="1">
        <f>SUM(OSRRefP22_16x_0)</f>
        <v>4533.1099999999997</v>
      </c>
      <c r="Q75" s="1"/>
      <c r="R75" s="5">
        <f t="shared" ref="R75:R86" si="57">IF(P$12=0,0,P75/P$12)</f>
        <v>7.525257141574624E-3</v>
      </c>
      <c r="S75" s="1"/>
      <c r="T75" s="1">
        <f>SUM(OSRRefT22_16x_0)</f>
        <v>534.16999999999996</v>
      </c>
      <c r="U75" s="1"/>
      <c r="V75" s="5">
        <f t="shared" ref="V75:V86" si="58">IF(T$12=0,0,T75/T$12)</f>
        <v>1.933384888333332E-3</v>
      </c>
      <c r="W75" s="1"/>
      <c r="X75" s="1">
        <f t="shared" ref="X75:X86" si="59">+P75-T75</f>
        <v>3998.9399999999996</v>
      </c>
      <c r="Y75" s="1"/>
      <c r="Z75" s="5">
        <f t="shared" ref="Z75:Z86" si="60">IF(T75=0,0,X75/T75)</f>
        <v>7.4862684164217379</v>
      </c>
    </row>
    <row r="76" spans="1:26" s="24" customFormat="1" hidden="1" outlineLevel="2" x14ac:dyDescent="0.3">
      <c r="A76" s="27"/>
      <c r="B76" s="11" t="str">
        <f>CONCATENATE("          ", "6275", " - ", "SUBSCRIPTIONS")</f>
        <v xml:space="preserve">          6275 - SUBSCRIPTIONS</v>
      </c>
      <c r="C76" s="11"/>
      <c r="D76" s="7">
        <v>560.5</v>
      </c>
      <c r="E76" s="2"/>
      <c r="F76" s="6">
        <f t="shared" si="53"/>
        <v>4.1586936730725138E-2</v>
      </c>
      <c r="G76" s="2"/>
      <c r="H76" s="7"/>
      <c r="I76" s="2"/>
      <c r="J76" s="6">
        <f t="shared" si="54"/>
        <v>0</v>
      </c>
      <c r="K76" s="2"/>
      <c r="L76" s="7">
        <f t="shared" si="55"/>
        <v>560.5</v>
      </c>
      <c r="M76" s="2"/>
      <c r="N76" s="6">
        <f t="shared" si="56"/>
        <v>0</v>
      </c>
      <c r="O76" s="11"/>
      <c r="P76" s="7">
        <v>4533.1099999999997</v>
      </c>
      <c r="Q76" s="2"/>
      <c r="R76" s="6">
        <f t="shared" si="57"/>
        <v>7.525257141574624E-3</v>
      </c>
      <c r="S76" s="2"/>
      <c r="T76" s="7">
        <v>534.16999999999996</v>
      </c>
      <c r="U76" s="2"/>
      <c r="V76" s="6">
        <f t="shared" si="58"/>
        <v>1.933384888333332E-3</v>
      </c>
      <c r="W76" s="2"/>
      <c r="X76" s="7">
        <f t="shared" si="59"/>
        <v>3998.9399999999996</v>
      </c>
      <c r="Y76" s="2"/>
      <c r="Z76" s="6">
        <f t="shared" si="60"/>
        <v>7.4862684164217379</v>
      </c>
    </row>
    <row r="77" spans="1:26" s="29" customFormat="1" outlineLevel="1" collapsed="1" x14ac:dyDescent="0.3">
      <c r="A77" s="28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SUM(OSRRefD22_17x_0)</f>
        <v>1901.02</v>
      </c>
      <c r="E77" s="1"/>
      <c r="F77" s="5">
        <f t="shared" si="53"/>
        <v>0.14104834694708848</v>
      </c>
      <c r="G77" s="1"/>
      <c r="H77" s="1">
        <f>SUM(OSRRefH22_17x_0)</f>
        <v>116.72999999999999</v>
      </c>
      <c r="I77" s="1"/>
      <c r="J77" s="5">
        <f t="shared" si="54"/>
        <v>1.4222624463498916E-3</v>
      </c>
      <c r="K77" s="1"/>
      <c r="L77" s="1">
        <f t="shared" si="55"/>
        <v>1784.29</v>
      </c>
      <c r="M77" s="1"/>
      <c r="N77" s="5">
        <f t="shared" si="56"/>
        <v>15.285616379679604</v>
      </c>
      <c r="O77" s="14"/>
      <c r="P77" s="1">
        <f>SUM(OSRRefP22_17x_0)</f>
        <v>20487.129999999997</v>
      </c>
      <c r="Q77" s="1"/>
      <c r="R77" s="5">
        <f t="shared" si="57"/>
        <v>3.4009966963710947E-2</v>
      </c>
      <c r="S77" s="1"/>
      <c r="T77" s="1">
        <f>SUM(OSRRefT22_17x_0)</f>
        <v>-21429.59</v>
      </c>
      <c r="U77" s="1"/>
      <c r="V77" s="5">
        <f t="shared" si="58"/>
        <v>-7.7562658833665477E-2</v>
      </c>
      <c r="W77" s="1"/>
      <c r="X77" s="1">
        <f t="shared" si="59"/>
        <v>41916.720000000001</v>
      </c>
      <c r="Y77" s="1"/>
      <c r="Z77" s="5">
        <f t="shared" si="60"/>
        <v>-1.9560206238196811</v>
      </c>
    </row>
    <row r="78" spans="1:26" s="24" customFormat="1" hidden="1" outlineLevel="2" x14ac:dyDescent="0.3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7">
        <v>57.77</v>
      </c>
      <c r="E78" s="2"/>
      <c r="F78" s="6">
        <f t="shared" si="53"/>
        <v>4.2863110346725982E-3</v>
      </c>
      <c r="G78" s="2"/>
      <c r="H78" s="7"/>
      <c r="I78" s="2"/>
      <c r="J78" s="6">
        <f t="shared" si="54"/>
        <v>0</v>
      </c>
      <c r="K78" s="2"/>
      <c r="L78" s="7">
        <f t="shared" si="55"/>
        <v>57.77</v>
      </c>
      <c r="M78" s="2"/>
      <c r="N78" s="6">
        <f t="shared" si="56"/>
        <v>0</v>
      </c>
      <c r="O78" s="11"/>
      <c r="P78" s="7">
        <v>57.77</v>
      </c>
      <c r="Q78" s="2"/>
      <c r="R78" s="6">
        <f t="shared" si="57"/>
        <v>9.5901953640826302E-5</v>
      </c>
      <c r="S78" s="2"/>
      <c r="T78" s="7">
        <v>310.91000000000003</v>
      </c>
      <c r="U78" s="2"/>
      <c r="V78" s="6">
        <f t="shared" si="58"/>
        <v>1.1253134688052799E-3</v>
      </c>
      <c r="W78" s="2"/>
      <c r="X78" s="7">
        <f t="shared" si="59"/>
        <v>-253.14000000000001</v>
      </c>
      <c r="Y78" s="2"/>
      <c r="Z78" s="6">
        <f t="shared" si="60"/>
        <v>-0.81419060178186609</v>
      </c>
    </row>
    <row r="79" spans="1:26" s="24" customFormat="1" hidden="1" outlineLevel="2" x14ac:dyDescent="0.3">
      <c r="A79" s="27"/>
      <c r="B79" s="11" t="str">
        <f>CONCATENATE("          ", "6235", " - ", "COVID-19 EXPENSES")</f>
        <v xml:space="preserve">          6235 - COVID-19 EXPENSES</v>
      </c>
      <c r="C79" s="11"/>
      <c r="D79" s="7">
        <v>318.42</v>
      </c>
      <c r="E79" s="2"/>
      <c r="F79" s="6">
        <f t="shared" si="53"/>
        <v>2.3625535046917927E-2</v>
      </c>
      <c r="G79" s="2"/>
      <c r="H79" s="7"/>
      <c r="I79" s="2"/>
      <c r="J79" s="6">
        <f t="shared" si="54"/>
        <v>0</v>
      </c>
      <c r="K79" s="2"/>
      <c r="L79" s="7">
        <f t="shared" si="55"/>
        <v>318.42</v>
      </c>
      <c r="M79" s="2"/>
      <c r="N79" s="6">
        <f t="shared" si="56"/>
        <v>0</v>
      </c>
      <c r="O79" s="11"/>
      <c r="P79" s="7">
        <v>511.92</v>
      </c>
      <c r="Q79" s="2"/>
      <c r="R79" s="6">
        <f t="shared" si="57"/>
        <v>8.4982046231282327E-4</v>
      </c>
      <c r="S79" s="2"/>
      <c r="T79" s="7">
        <v>6881.86</v>
      </c>
      <c r="U79" s="2"/>
      <c r="V79" s="6">
        <f t="shared" si="58"/>
        <v>2.4908332792230235E-2</v>
      </c>
      <c r="W79" s="2"/>
      <c r="X79" s="7">
        <f t="shared" si="59"/>
        <v>-6369.94</v>
      </c>
      <c r="Y79" s="2"/>
      <c r="Z79" s="6">
        <f t="shared" si="60"/>
        <v>-0.92561313365863296</v>
      </c>
    </row>
    <row r="80" spans="1:26" s="24" customFormat="1" hidden="1" outlineLevel="2" x14ac:dyDescent="0.3">
      <c r="A80" s="27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3"/>
        <v>0</v>
      </c>
      <c r="G80" s="2"/>
      <c r="H80" s="7"/>
      <c r="I80" s="2"/>
      <c r="J80" s="6">
        <f t="shared" si="54"/>
        <v>0</v>
      </c>
      <c r="K80" s="2"/>
      <c r="L80" s="7">
        <f t="shared" si="55"/>
        <v>0</v>
      </c>
      <c r="M80" s="2"/>
      <c r="N80" s="6">
        <f t="shared" si="56"/>
        <v>0</v>
      </c>
      <c r="O80" s="11"/>
      <c r="P80" s="7">
        <v>5847.61</v>
      </c>
      <c r="Q80" s="2"/>
      <c r="R80" s="6">
        <f t="shared" si="57"/>
        <v>9.7074125520102503E-3</v>
      </c>
      <c r="S80" s="2"/>
      <c r="T80" s="7">
        <v>358.91</v>
      </c>
      <c r="U80" s="2"/>
      <c r="V80" s="6">
        <f t="shared" si="58"/>
        <v>1.2990455665269787E-3</v>
      </c>
      <c r="W80" s="2"/>
      <c r="X80" s="7">
        <f t="shared" si="59"/>
        <v>5488.7</v>
      </c>
      <c r="Y80" s="2"/>
      <c r="Z80" s="6">
        <f t="shared" si="60"/>
        <v>15.29269176116575</v>
      </c>
    </row>
    <row r="81" spans="1:26" s="24" customFormat="1" hidden="1" outlineLevel="2" x14ac:dyDescent="0.3">
      <c r="A81" s="27"/>
      <c r="B81" s="11" t="str">
        <f>CONCATENATE("          ", "6239", " - ", "KITCHEN SUPPLIES")</f>
        <v xml:space="preserve">          6239 - KITCHEN SUPPLIES</v>
      </c>
      <c r="C81" s="11"/>
      <c r="D81" s="7">
        <v>675.86</v>
      </c>
      <c r="E81" s="2"/>
      <c r="F81" s="6">
        <f t="shared" si="53"/>
        <v>5.0146203494786608E-2</v>
      </c>
      <c r="G81" s="2"/>
      <c r="H81" s="7"/>
      <c r="I81" s="2"/>
      <c r="J81" s="6">
        <f t="shared" si="54"/>
        <v>0</v>
      </c>
      <c r="K81" s="2"/>
      <c r="L81" s="7">
        <f t="shared" si="55"/>
        <v>675.86</v>
      </c>
      <c r="M81" s="2"/>
      <c r="N81" s="6">
        <f t="shared" si="56"/>
        <v>0</v>
      </c>
      <c r="O81" s="11"/>
      <c r="P81" s="7">
        <v>3531.64</v>
      </c>
      <c r="Q81" s="2"/>
      <c r="R81" s="6">
        <f t="shared" si="57"/>
        <v>5.8627518704533104E-3</v>
      </c>
      <c r="S81" s="2"/>
      <c r="T81" s="7">
        <v>19.829999999999998</v>
      </c>
      <c r="U81" s="2"/>
      <c r="V81" s="6">
        <f t="shared" si="58"/>
        <v>7.1773072871276876E-5</v>
      </c>
      <c r="W81" s="2"/>
      <c r="X81" s="7">
        <f t="shared" si="59"/>
        <v>3511.81</v>
      </c>
      <c r="Y81" s="2"/>
      <c r="Z81" s="6">
        <f t="shared" si="60"/>
        <v>177.09581442259204</v>
      </c>
    </row>
    <row r="82" spans="1:26" s="24" customFormat="1" hidden="1" outlineLevel="2" x14ac:dyDescent="0.3">
      <c r="A82" s="27"/>
      <c r="B82" s="11" t="str">
        <f>CONCATENATE("          ", "6241", " - ", "OFFICE EXPENSE")</f>
        <v xml:space="preserve">          6241 - OFFICE EXPENSE</v>
      </c>
      <c r="C82" s="11"/>
      <c r="D82" s="7">
        <v>304.67</v>
      </c>
      <c r="E82" s="2"/>
      <c r="F82" s="6">
        <f t="shared" si="53"/>
        <v>2.2605338115521907E-2</v>
      </c>
      <c r="G82" s="2"/>
      <c r="H82" s="7">
        <v>51.24</v>
      </c>
      <c r="I82" s="2"/>
      <c r="J82" s="6">
        <f t="shared" si="54"/>
        <v>6.2431875054372017E-4</v>
      </c>
      <c r="K82" s="2"/>
      <c r="L82" s="7">
        <f t="shared" si="55"/>
        <v>253.43</v>
      </c>
      <c r="M82" s="2"/>
      <c r="N82" s="6">
        <f t="shared" si="56"/>
        <v>4.945940671350507</v>
      </c>
      <c r="O82" s="11"/>
      <c r="P82" s="7">
        <v>6917.07</v>
      </c>
      <c r="Q82" s="2"/>
      <c r="R82" s="6">
        <f t="shared" si="57"/>
        <v>1.1482785640823097E-2</v>
      </c>
      <c r="S82" s="2"/>
      <c r="T82" s="7">
        <v>-29066.59</v>
      </c>
      <c r="U82" s="2"/>
      <c r="V82" s="6">
        <f t="shared" si="58"/>
        <v>-0.1052041594649283</v>
      </c>
      <c r="W82" s="2"/>
      <c r="X82" s="7">
        <f t="shared" si="59"/>
        <v>35983.660000000003</v>
      </c>
      <c r="Y82" s="2"/>
      <c r="Z82" s="6">
        <f t="shared" si="60"/>
        <v>-1.2379732194247761</v>
      </c>
    </row>
    <row r="83" spans="1:26" s="24" customFormat="1" hidden="1" outlineLevel="2" x14ac:dyDescent="0.3">
      <c r="A83" s="27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53"/>
        <v>0</v>
      </c>
      <c r="G83" s="2"/>
      <c r="H83" s="7">
        <v>65.489999999999995</v>
      </c>
      <c r="I83" s="2"/>
      <c r="J83" s="6">
        <f t="shared" si="54"/>
        <v>7.9794369580617154E-4</v>
      </c>
      <c r="K83" s="2"/>
      <c r="L83" s="7">
        <f t="shared" si="55"/>
        <v>-65.489999999999995</v>
      </c>
      <c r="M83" s="2"/>
      <c r="N83" s="6">
        <f t="shared" si="56"/>
        <v>-1</v>
      </c>
      <c r="O83" s="11"/>
      <c r="P83" s="7">
        <v>1252.26</v>
      </c>
      <c r="Q83" s="2"/>
      <c r="R83" s="6">
        <f t="shared" si="57"/>
        <v>2.0788329663538364E-3</v>
      </c>
      <c r="S83" s="2"/>
      <c r="T83" s="7">
        <v>65.489999999999995</v>
      </c>
      <c r="U83" s="2"/>
      <c r="V83" s="6">
        <f t="shared" si="58"/>
        <v>2.3703573082904303E-4</v>
      </c>
      <c r="W83" s="2"/>
      <c r="X83" s="7">
        <f t="shared" si="59"/>
        <v>1186.77</v>
      </c>
      <c r="Y83" s="2"/>
      <c r="Z83" s="6">
        <f t="shared" si="60"/>
        <v>18.121392579019698</v>
      </c>
    </row>
    <row r="84" spans="1:26" s="24" customFormat="1" hidden="1" outlineLevel="2" x14ac:dyDescent="0.3">
      <c r="A84" s="27"/>
      <c r="B84" s="11" t="str">
        <f>CONCATENATE("          ", "6245", " - ", "PRINTING")</f>
        <v xml:space="preserve">          6245 - PRINTING</v>
      </c>
      <c r="C84" s="11"/>
      <c r="D84" s="7"/>
      <c r="E84" s="2"/>
      <c r="F84" s="6">
        <f t="shared" si="53"/>
        <v>0</v>
      </c>
      <c r="G84" s="2"/>
      <c r="H84" s="7"/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>
        <v>1071</v>
      </c>
      <c r="Q84" s="2"/>
      <c r="R84" s="6">
        <f t="shared" si="57"/>
        <v>1.7779295888752805E-3</v>
      </c>
      <c r="S84" s="2"/>
      <c r="T84" s="7"/>
      <c r="U84" s="2"/>
      <c r="V84" s="6">
        <f t="shared" si="58"/>
        <v>0</v>
      </c>
      <c r="W84" s="2"/>
      <c r="X84" s="7">
        <f t="shared" si="59"/>
        <v>1071</v>
      </c>
      <c r="Y84" s="2"/>
      <c r="Z84" s="6">
        <f t="shared" si="60"/>
        <v>0</v>
      </c>
    </row>
    <row r="85" spans="1:26" s="24" customFormat="1" hidden="1" outlineLevel="2" x14ac:dyDescent="0.3">
      <c r="A85" s="27"/>
      <c r="B85" s="11" t="str">
        <f>CONCATENATE("          ", "6247", " - ", "STORE SUPPLIES")</f>
        <v xml:space="preserve">          6247 - STORE SUPPLIES</v>
      </c>
      <c r="C85" s="11"/>
      <c r="D85" s="7">
        <v>195</v>
      </c>
      <c r="E85" s="2"/>
      <c r="F85" s="6">
        <f t="shared" si="53"/>
        <v>1.4468247390707229E-2</v>
      </c>
      <c r="G85" s="2"/>
      <c r="H85" s="7"/>
      <c r="I85" s="2"/>
      <c r="J85" s="6">
        <f t="shared" si="54"/>
        <v>0</v>
      </c>
      <c r="K85" s="2"/>
      <c r="L85" s="7">
        <f t="shared" si="55"/>
        <v>195</v>
      </c>
      <c r="M85" s="2"/>
      <c r="N85" s="6">
        <f t="shared" si="56"/>
        <v>0</v>
      </c>
      <c r="O85" s="11"/>
      <c r="P85" s="7">
        <v>695.61</v>
      </c>
      <c r="Q85" s="2"/>
      <c r="R85" s="6">
        <f t="shared" si="57"/>
        <v>1.1547577976821046E-3</v>
      </c>
      <c r="S85" s="2"/>
      <c r="T85" s="7"/>
      <c r="U85" s="2"/>
      <c r="V85" s="6">
        <f t="shared" si="58"/>
        <v>0</v>
      </c>
      <c r="W85" s="2"/>
      <c r="X85" s="7">
        <f t="shared" si="59"/>
        <v>695.61</v>
      </c>
      <c r="Y85" s="2"/>
      <c r="Z85" s="6">
        <f t="shared" si="60"/>
        <v>0</v>
      </c>
    </row>
    <row r="86" spans="1:26" s="24" customFormat="1" hidden="1" outlineLevel="2" x14ac:dyDescent="0.3">
      <c r="A86" s="27"/>
      <c r="B86" s="11" t="str">
        <f>CONCATENATE("          ", "6248", " - ", "UNIFORMS")</f>
        <v xml:space="preserve">          6248 - UNIFORMS</v>
      </c>
      <c r="C86" s="11"/>
      <c r="D86" s="7">
        <v>349.3</v>
      </c>
      <c r="E86" s="2"/>
      <c r="F86" s="6">
        <f t="shared" si="53"/>
        <v>2.5916711864482231E-2</v>
      </c>
      <c r="G86" s="2"/>
      <c r="H86" s="7"/>
      <c r="I86" s="2"/>
      <c r="J86" s="6">
        <f t="shared" si="54"/>
        <v>0</v>
      </c>
      <c r="K86" s="2"/>
      <c r="L86" s="7">
        <f t="shared" si="55"/>
        <v>349.3</v>
      </c>
      <c r="M86" s="2"/>
      <c r="N86" s="6">
        <f t="shared" si="56"/>
        <v>0</v>
      </c>
      <c r="O86" s="11"/>
      <c r="P86" s="7">
        <v>602.25</v>
      </c>
      <c r="Q86" s="2"/>
      <c r="R86" s="6">
        <f t="shared" si="57"/>
        <v>9.9977413155941889E-4</v>
      </c>
      <c r="S86" s="2"/>
      <c r="T86" s="7"/>
      <c r="U86" s="2"/>
      <c r="V86" s="6">
        <f t="shared" si="58"/>
        <v>0</v>
      </c>
      <c r="W86" s="2"/>
      <c r="X86" s="7">
        <f t="shared" si="59"/>
        <v>602.25</v>
      </c>
      <c r="Y86" s="2"/>
      <c r="Z86" s="6">
        <f t="shared" si="60"/>
        <v>0</v>
      </c>
    </row>
    <row r="87" spans="1:26" s="29" customFormat="1" outlineLevel="1" collapsed="1" x14ac:dyDescent="0.3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SUM(OSRRefD22_18x_0)</f>
        <v>920.65</v>
      </c>
      <c r="E87" s="1"/>
      <c r="F87" s="5">
        <f t="shared" ref="F87:F93" si="61">IF(D$12=0,0,D87/D$12)</f>
        <v>6.8308676719254419E-2</v>
      </c>
      <c r="G87" s="1"/>
      <c r="H87" s="1">
        <f>SUM(OSRRefH22_18x_0)</f>
        <v>248</v>
      </c>
      <c r="I87" s="1"/>
      <c r="J87" s="5">
        <f t="shared" ref="J87:J93" si="62">IF(H$12=0,0,H87/H$12)</f>
        <v>3.0216832579009097E-3</v>
      </c>
      <c r="K87" s="1"/>
      <c r="L87" s="1">
        <f t="shared" ref="L87:L93" si="63">+D87-H87</f>
        <v>672.65</v>
      </c>
      <c r="M87" s="1"/>
      <c r="N87" s="5">
        <f t="shared" ref="N87:N93" si="64">IF(H87=0,0,L87/H87)</f>
        <v>2.7122983870967743</v>
      </c>
      <c r="O87" s="14"/>
      <c r="P87" s="1">
        <f>SUM(OSRRefP22_18x_0)</f>
        <v>4565.59</v>
      </c>
      <c r="Q87" s="1"/>
      <c r="R87" s="5">
        <f t="shared" ref="R87:R93" si="65">IF(P$12=0,0,P87/P$12)</f>
        <v>7.5791760519823463E-3</v>
      </c>
      <c r="S87" s="1"/>
      <c r="T87" s="1">
        <f>SUM(OSRRefT22_18x_0)</f>
        <v>4899.2700000000004</v>
      </c>
      <c r="U87" s="1"/>
      <c r="V87" s="5">
        <f t="shared" ref="V87:V93" si="66">IF(T$12=0,0,T87/T$12)</f>
        <v>1.7732509466770588E-2</v>
      </c>
      <c r="W87" s="1"/>
      <c r="X87" s="1">
        <f t="shared" ref="X87:X93" si="67">+P87-T87</f>
        <v>-333.68000000000029</v>
      </c>
      <c r="Y87" s="1"/>
      <c r="Z87" s="5">
        <f t="shared" ref="Z87:Z93" si="68">IF(T87=0,0,X87/T87)</f>
        <v>-6.8108105901491495E-2</v>
      </c>
    </row>
    <row r="88" spans="1:26" s="24" customFormat="1" hidden="1" outlineLevel="2" x14ac:dyDescent="0.3">
      <c r="A88" s="27"/>
      <c r="B88" s="11" t="str">
        <f>CONCATENATE("          ", "6309", " - ", "TELEPHONE")</f>
        <v xml:space="preserve">          6309 - TELEPHONE</v>
      </c>
      <c r="C88" s="11"/>
      <c r="D88" s="7">
        <v>920.65</v>
      </c>
      <c r="E88" s="2"/>
      <c r="F88" s="6">
        <f t="shared" si="61"/>
        <v>6.8308676719254419E-2</v>
      </c>
      <c r="G88" s="2"/>
      <c r="H88" s="7">
        <v>248</v>
      </c>
      <c r="I88" s="2"/>
      <c r="J88" s="6">
        <f t="shared" si="62"/>
        <v>3.0216832579009097E-3</v>
      </c>
      <c r="K88" s="2"/>
      <c r="L88" s="7">
        <f t="shared" si="63"/>
        <v>672.65</v>
      </c>
      <c r="M88" s="2"/>
      <c r="N88" s="6">
        <f t="shared" si="64"/>
        <v>2.7122983870967743</v>
      </c>
      <c r="O88" s="11"/>
      <c r="P88" s="7">
        <v>4565.59</v>
      </c>
      <c r="Q88" s="2"/>
      <c r="R88" s="6">
        <f t="shared" si="65"/>
        <v>7.5791760519823463E-3</v>
      </c>
      <c r="S88" s="2"/>
      <c r="T88" s="7">
        <v>4899.2700000000004</v>
      </c>
      <c r="U88" s="2"/>
      <c r="V88" s="6">
        <f t="shared" si="66"/>
        <v>1.7732509466770588E-2</v>
      </c>
      <c r="W88" s="2"/>
      <c r="X88" s="7">
        <f t="shared" si="67"/>
        <v>-333.68000000000029</v>
      </c>
      <c r="Y88" s="2"/>
      <c r="Z88" s="6">
        <f t="shared" si="68"/>
        <v>-6.8108105901491495E-2</v>
      </c>
    </row>
    <row r="89" spans="1:26" s="29" customFormat="1" outlineLevel="1" collapsed="1" x14ac:dyDescent="0.3">
      <c r="A89" s="28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SUM(OSRRefD22_19x_0)</f>
        <v>0</v>
      </c>
      <c r="E89" s="1"/>
      <c r="F89" s="5">
        <f t="shared" si="61"/>
        <v>0</v>
      </c>
      <c r="G89" s="1"/>
      <c r="H89" s="1">
        <f>SUM(OSRRefH22_19x_0)</f>
        <v>0</v>
      </c>
      <c r="I89" s="1"/>
      <c r="J89" s="5">
        <f t="shared" si="62"/>
        <v>0</v>
      </c>
      <c r="K89" s="1"/>
      <c r="L89" s="1">
        <f t="shared" si="63"/>
        <v>0</v>
      </c>
      <c r="M89" s="1"/>
      <c r="N89" s="5">
        <f t="shared" si="64"/>
        <v>0</v>
      </c>
      <c r="O89" s="14"/>
      <c r="P89" s="1">
        <f>SUM(OSRRefP22_19x_0)</f>
        <v>0</v>
      </c>
      <c r="Q89" s="1"/>
      <c r="R89" s="5">
        <f t="shared" si="65"/>
        <v>0</v>
      </c>
      <c r="S89" s="1"/>
      <c r="T89" s="1">
        <f>SUM(OSRRefT22_19x_0)</f>
        <v>400</v>
      </c>
      <c r="U89" s="1"/>
      <c r="V89" s="5">
        <f t="shared" si="66"/>
        <v>1.4477674810141582E-3</v>
      </c>
      <c r="W89" s="1"/>
      <c r="X89" s="1">
        <f t="shared" si="67"/>
        <v>-400</v>
      </c>
      <c r="Y89" s="1"/>
      <c r="Z89" s="5">
        <f t="shared" si="68"/>
        <v>-1</v>
      </c>
    </row>
    <row r="90" spans="1:26" s="24" customFormat="1" hidden="1" outlineLevel="2" x14ac:dyDescent="0.3">
      <c r="A90" s="27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1"/>
        <v>0</v>
      </c>
      <c r="G90" s="2"/>
      <c r="H90" s="7"/>
      <c r="I90" s="2"/>
      <c r="J90" s="6">
        <f t="shared" si="62"/>
        <v>0</v>
      </c>
      <c r="K90" s="2"/>
      <c r="L90" s="7">
        <f t="shared" si="63"/>
        <v>0</v>
      </c>
      <c r="M90" s="2"/>
      <c r="N90" s="6">
        <f t="shared" si="64"/>
        <v>0</v>
      </c>
      <c r="O90" s="11"/>
      <c r="P90" s="7"/>
      <c r="Q90" s="2"/>
      <c r="R90" s="6">
        <f t="shared" si="65"/>
        <v>0</v>
      </c>
      <c r="S90" s="2"/>
      <c r="T90" s="7">
        <v>400</v>
      </c>
      <c r="U90" s="2"/>
      <c r="V90" s="6">
        <f t="shared" si="66"/>
        <v>1.4477674810141582E-3</v>
      </c>
      <c r="W90" s="2"/>
      <c r="X90" s="7">
        <f t="shared" si="67"/>
        <v>-400</v>
      </c>
      <c r="Y90" s="2"/>
      <c r="Z90" s="6">
        <f t="shared" si="68"/>
        <v>-1</v>
      </c>
    </row>
    <row r="91" spans="1:26" s="29" customFormat="1" outlineLevel="1" collapsed="1" x14ac:dyDescent="0.3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SUM(OSRRefD22_20x_0)</f>
        <v>0</v>
      </c>
      <c r="E91" s="1"/>
      <c r="F91" s="5">
        <f t="shared" si="61"/>
        <v>0</v>
      </c>
      <c r="G91" s="1"/>
      <c r="H91" s="1">
        <f>SUM(OSRRefH22_20x_0)</f>
        <v>0</v>
      </c>
      <c r="I91" s="1"/>
      <c r="J91" s="5">
        <f t="shared" si="62"/>
        <v>0</v>
      </c>
      <c r="K91" s="1"/>
      <c r="L91" s="1">
        <f t="shared" si="63"/>
        <v>0</v>
      </c>
      <c r="M91" s="1"/>
      <c r="N91" s="5">
        <f t="shared" si="64"/>
        <v>0</v>
      </c>
      <c r="O91" s="14"/>
      <c r="P91" s="1">
        <f>SUM(OSRRefP22_20x_0)</f>
        <v>18.59</v>
      </c>
      <c r="Q91" s="1"/>
      <c r="R91" s="5">
        <f t="shared" si="65"/>
        <v>3.0860607896537313E-5</v>
      </c>
      <c r="S91" s="1"/>
      <c r="T91" s="1">
        <f>SUM(OSRRefT22_20x_0)</f>
        <v>332.21</v>
      </c>
      <c r="U91" s="1"/>
      <c r="V91" s="5">
        <f t="shared" si="66"/>
        <v>1.2024070871692837E-3</v>
      </c>
      <c r="W91" s="1"/>
      <c r="X91" s="1">
        <f t="shared" si="67"/>
        <v>-313.62</v>
      </c>
      <c r="Y91" s="1"/>
      <c r="Z91" s="5">
        <f t="shared" si="68"/>
        <v>-0.94404141958399812</v>
      </c>
    </row>
    <row r="92" spans="1:26" s="24" customFormat="1" hidden="1" outlineLevel="2" x14ac:dyDescent="0.3">
      <c r="A92" s="27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1"/>
        <v>0</v>
      </c>
      <c r="G92" s="2"/>
      <c r="H92" s="7"/>
      <c r="I92" s="2"/>
      <c r="J92" s="6">
        <f t="shared" si="62"/>
        <v>0</v>
      </c>
      <c r="K92" s="2"/>
      <c r="L92" s="7">
        <f t="shared" si="63"/>
        <v>0</v>
      </c>
      <c r="M92" s="2"/>
      <c r="N92" s="6">
        <f t="shared" si="64"/>
        <v>0</v>
      </c>
      <c r="O92" s="11"/>
      <c r="P92" s="7">
        <v>18.59</v>
      </c>
      <c r="Q92" s="2"/>
      <c r="R92" s="6">
        <f t="shared" si="65"/>
        <v>3.0860607896537313E-5</v>
      </c>
      <c r="S92" s="2"/>
      <c r="T92" s="7"/>
      <c r="U92" s="2"/>
      <c r="V92" s="6">
        <f t="shared" si="66"/>
        <v>0</v>
      </c>
      <c r="W92" s="2"/>
      <c r="X92" s="7">
        <f t="shared" si="67"/>
        <v>18.59</v>
      </c>
      <c r="Y92" s="2"/>
      <c r="Z92" s="6">
        <f t="shared" si="68"/>
        <v>0</v>
      </c>
    </row>
    <row r="93" spans="1:26" s="24" customFormat="1" hidden="1" outlineLevel="2" x14ac:dyDescent="0.3">
      <c r="A93" s="27"/>
      <c r="B93" s="11" t="str">
        <f>CONCATENATE("          ", "6298", " - ", "VEHICLE MILEAGE")</f>
        <v xml:space="preserve">          6298 - VEHICLE MILEAGE</v>
      </c>
      <c r="C93" s="11"/>
      <c r="D93" s="7"/>
      <c r="E93" s="2"/>
      <c r="F93" s="6">
        <f t="shared" si="61"/>
        <v>0</v>
      </c>
      <c r="G93" s="2"/>
      <c r="H93" s="7"/>
      <c r="I93" s="2"/>
      <c r="J93" s="6">
        <f t="shared" si="62"/>
        <v>0</v>
      </c>
      <c r="K93" s="2"/>
      <c r="L93" s="7">
        <f t="shared" si="63"/>
        <v>0</v>
      </c>
      <c r="M93" s="2"/>
      <c r="N93" s="6">
        <f t="shared" si="64"/>
        <v>0</v>
      </c>
      <c r="O93" s="11"/>
      <c r="P93" s="7"/>
      <c r="Q93" s="2"/>
      <c r="R93" s="6">
        <f t="shared" si="65"/>
        <v>0</v>
      </c>
      <c r="S93" s="2"/>
      <c r="T93" s="7">
        <v>332.21</v>
      </c>
      <c r="U93" s="2"/>
      <c r="V93" s="6">
        <f t="shared" si="66"/>
        <v>1.2024070871692837E-3</v>
      </c>
      <c r="W93" s="2"/>
      <c r="X93" s="7">
        <f t="shared" si="67"/>
        <v>-332.21</v>
      </c>
      <c r="Y93" s="2"/>
      <c r="Z93" s="6">
        <f t="shared" si="68"/>
        <v>-1</v>
      </c>
    </row>
    <row r="94" spans="1:26" s="29" customFormat="1" outlineLevel="1" collapsed="1" x14ac:dyDescent="0.3">
      <c r="A94" s="28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SUM(OSRRefD22_21x_0)</f>
        <v>8150</v>
      </c>
      <c r="E94" s="1"/>
      <c r="F94" s="5">
        <f t="shared" ref="F94:F95" si="69">IF(D$12=0,0,D94/D$12)</f>
        <v>0.60469854479109697</v>
      </c>
      <c r="G94" s="1"/>
      <c r="H94" s="1">
        <f>SUM(OSRRefH22_21x_0)</f>
        <v>3660</v>
      </c>
      <c r="I94" s="1"/>
      <c r="J94" s="5">
        <f t="shared" ref="J94:J95" si="70">IF(H$12=0,0,H94/H$12)</f>
        <v>4.4594196467408587E-2</v>
      </c>
      <c r="K94" s="1"/>
      <c r="L94" s="1">
        <f t="shared" ref="L94:L95" si="71">+D94-H94</f>
        <v>4490</v>
      </c>
      <c r="M94" s="1"/>
      <c r="N94" s="5">
        <f t="shared" ref="N94:N95" si="72">IF(H94=0,0,L94/H94)</f>
        <v>1.2267759562841529</v>
      </c>
      <c r="O94" s="14"/>
      <c r="P94" s="1">
        <f>SUM(OSRRefP22_21x_0)</f>
        <v>54650</v>
      </c>
      <c r="Q94" s="1"/>
      <c r="R94" s="5">
        <f t="shared" ref="R94:R95" si="73">IF(P$12=0,0,P94/P$12)</f>
        <v>9.0722550916931918E-2</v>
      </c>
      <c r="S94" s="1"/>
      <c r="T94" s="1">
        <f>SUM(OSRRefT22_21x_0)</f>
        <v>4652</v>
      </c>
      <c r="U94" s="1"/>
      <c r="V94" s="5">
        <f t="shared" ref="V94:V95" si="74">IF(T$12=0,0,T94/T$12)</f>
        <v>1.6837535804194659E-2</v>
      </c>
      <c r="W94" s="1"/>
      <c r="X94" s="1">
        <f t="shared" ref="X94:X95" si="75">+P94-T94</f>
        <v>49998</v>
      </c>
      <c r="Y94" s="1"/>
      <c r="Z94" s="5">
        <f t="shared" ref="Z94:Z95" si="76">IF(T94=0,0,X94/T94)</f>
        <v>10.747635425623388</v>
      </c>
    </row>
    <row r="95" spans="1:26" s="24" customFormat="1" hidden="1" outlineLevel="2" x14ac:dyDescent="0.3">
      <c r="A95" s="27"/>
      <c r="B95" s="11" t="str">
        <f>CONCATENATE("          ", "6274", " - ", "UTILITIES")</f>
        <v xml:space="preserve">          6274 - UTILITIES</v>
      </c>
      <c r="C95" s="11"/>
      <c r="D95" s="7">
        <v>8150</v>
      </c>
      <c r="E95" s="2"/>
      <c r="F95" s="6">
        <f t="shared" si="69"/>
        <v>0.60469854479109697</v>
      </c>
      <c r="G95" s="2"/>
      <c r="H95" s="7">
        <v>3660</v>
      </c>
      <c r="I95" s="2"/>
      <c r="J95" s="6">
        <f t="shared" si="70"/>
        <v>4.4594196467408587E-2</v>
      </c>
      <c r="K95" s="2"/>
      <c r="L95" s="7">
        <f t="shared" si="71"/>
        <v>4490</v>
      </c>
      <c r="M95" s="2"/>
      <c r="N95" s="6">
        <f t="shared" si="72"/>
        <v>1.2267759562841529</v>
      </c>
      <c r="O95" s="11"/>
      <c r="P95" s="7">
        <v>54650</v>
      </c>
      <c r="Q95" s="2"/>
      <c r="R95" s="6">
        <f t="shared" si="73"/>
        <v>9.0722550916931918E-2</v>
      </c>
      <c r="S95" s="2"/>
      <c r="T95" s="7">
        <v>4652</v>
      </c>
      <c r="U95" s="2"/>
      <c r="V95" s="6">
        <f t="shared" si="74"/>
        <v>1.6837535804194659E-2</v>
      </c>
      <c r="W95" s="2"/>
      <c r="X95" s="7">
        <f t="shared" si="75"/>
        <v>49998</v>
      </c>
      <c r="Y95" s="2"/>
      <c r="Z95" s="6">
        <f t="shared" si="76"/>
        <v>10.747635425623388</v>
      </c>
    </row>
    <row r="96" spans="1:26" s="52" customFormat="1" x14ac:dyDescent="0.3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6" t="s">
        <v>292</v>
      </c>
      <c r="C97" s="10"/>
      <c r="D97" s="4">
        <f>SUM(OSRRefD25x_0)</f>
        <v>6523.34</v>
      </c>
      <c r="E97" s="4"/>
      <c r="F97" s="12">
        <f t="shared" ref="F97:F100" si="77">IF(D$12=0,0,D97/D$12)</f>
        <v>0.48400665094203127</v>
      </c>
      <c r="G97" s="4"/>
      <c r="H97" s="4">
        <f>SUM(OSRRefH25x_0)</f>
        <v>976.87</v>
      </c>
      <c r="I97" s="4"/>
      <c r="J97" s="12">
        <f t="shared" ref="J97:J100" si="78">IF(H$12=0,0,H97/H$12)</f>
        <v>1.1902385984458313E-2</v>
      </c>
      <c r="K97" s="4"/>
      <c r="L97" s="4">
        <f t="shared" ref="L97:L100" si="79">+D97-H97</f>
        <v>5546.47</v>
      </c>
      <c r="M97" s="4"/>
      <c r="N97" s="12">
        <f t="shared" ref="N97:N100" si="80">IF(H97=0,0,L97/H97)</f>
        <v>5.6777974551373269</v>
      </c>
      <c r="O97" s="10"/>
      <c r="P97" s="4">
        <f>SUM(OSRRefP25x_0)</f>
        <v>141141.85</v>
      </c>
      <c r="Q97" s="4"/>
      <c r="R97" s="12">
        <f t="shared" ref="R97:R100" si="81">IF(P$12=0,0,P97/P$12)</f>
        <v>0.23430464177740107</v>
      </c>
      <c r="S97" s="4"/>
      <c r="T97" s="4">
        <f>SUM(OSRRefT25x_0)</f>
        <v>16348.34</v>
      </c>
      <c r="U97" s="4"/>
      <c r="V97" s="12">
        <f t="shared" ref="V97:V100" si="82">IF(T$12=0,0,T97/T$12)</f>
        <v>5.9171487551407505E-2</v>
      </c>
      <c r="W97" s="4"/>
      <c r="X97" s="4">
        <f t="shared" ref="X97:X100" si="83">+P97-T97</f>
        <v>124793.51000000001</v>
      </c>
      <c r="Y97" s="4"/>
      <c r="Z97" s="12">
        <f t="shared" ref="Z97:Z100" si="84">IF(T97=0,0,X97/T97)</f>
        <v>7.6334055934730989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--6523.34</f>
        <v>6523.34</v>
      </c>
      <c r="E98" s="2"/>
      <c r="F98" s="19">
        <f t="shared" si="77"/>
        <v>0.48400665094203127</v>
      </c>
      <c r="G98" s="2"/>
      <c r="H98" s="2">
        <f>0</f>
        <v>0</v>
      </c>
      <c r="I98" s="2"/>
      <c r="J98" s="19">
        <f t="shared" si="78"/>
        <v>0</v>
      </c>
      <c r="K98" s="2"/>
      <c r="L98" s="2">
        <f t="shared" si="79"/>
        <v>6523.34</v>
      </c>
      <c r="M98" s="2"/>
      <c r="N98" s="19">
        <f t="shared" si="80"/>
        <v>0</v>
      </c>
      <c r="O98" s="11"/>
      <c r="P98" s="2">
        <f>--141141.85</f>
        <v>141141.85</v>
      </c>
      <c r="Q98" s="2"/>
      <c r="R98" s="19">
        <f t="shared" si="81"/>
        <v>0.23430464177740107</v>
      </c>
      <c r="S98" s="2"/>
      <c r="T98" s="2">
        <f>--1728.05</f>
        <v>1728.05</v>
      </c>
      <c r="U98" s="2"/>
      <c r="V98" s="19">
        <f t="shared" si="82"/>
        <v>6.25453648891629E-3</v>
      </c>
      <c r="W98" s="2"/>
      <c r="X98" s="2">
        <f t="shared" si="83"/>
        <v>139413.80000000002</v>
      </c>
      <c r="Y98" s="2"/>
      <c r="Z98" s="19">
        <f t="shared" si="84"/>
        <v>80.676948004976722</v>
      </c>
    </row>
    <row r="99" spans="1:26" s="24" customFormat="1" hidden="1" outlineLevel="1" x14ac:dyDescent="0.3">
      <c r="A99" s="44"/>
      <c r="B99" s="11" t="str">
        <f>CONCATENATE("          ", "9160", " - ", "MISC. INCOME")</f>
        <v xml:space="preserve">          9160 - MISC. INCOME</v>
      </c>
      <c r="C99" s="11"/>
      <c r="D99" s="2">
        <f t="shared" ref="D99:D100" si="85">0</f>
        <v>0</v>
      </c>
      <c r="E99" s="2"/>
      <c r="F99" s="19">
        <f t="shared" si="77"/>
        <v>0</v>
      </c>
      <c r="G99" s="2"/>
      <c r="H99" s="2">
        <f>--189.92</f>
        <v>189.92</v>
      </c>
      <c r="I99" s="2"/>
      <c r="J99" s="19">
        <f t="shared" si="78"/>
        <v>2.3140245336312126E-3</v>
      </c>
      <c r="K99" s="2"/>
      <c r="L99" s="2">
        <f t="shared" si="79"/>
        <v>-189.92</v>
      </c>
      <c r="M99" s="2"/>
      <c r="N99" s="19">
        <f t="shared" si="80"/>
        <v>-1</v>
      </c>
      <c r="O99" s="11"/>
      <c r="P99" s="2">
        <f t="shared" ref="P99:P100" si="86">0</f>
        <v>0</v>
      </c>
      <c r="Q99" s="2"/>
      <c r="R99" s="19">
        <f t="shared" si="81"/>
        <v>0</v>
      </c>
      <c r="S99" s="2"/>
      <c r="T99" s="2">
        <f>--12518.17</f>
        <v>12518.17</v>
      </c>
      <c r="U99" s="2"/>
      <c r="V99" s="19">
        <f t="shared" si="82"/>
        <v>4.5308498619517509E-2</v>
      </c>
      <c r="W99" s="2"/>
      <c r="X99" s="2">
        <f t="shared" si="83"/>
        <v>-12518.17</v>
      </c>
      <c r="Y99" s="2"/>
      <c r="Z99" s="19">
        <f t="shared" si="84"/>
        <v>-1</v>
      </c>
    </row>
    <row r="100" spans="1:26" s="24" customFormat="1" hidden="1" outlineLevel="1" x14ac:dyDescent="0.3">
      <c r="A100" s="44"/>
      <c r="B100" s="11" t="str">
        <f>CONCATENATE("          ", "9165", " - ", "OTHER INCOME")</f>
        <v xml:space="preserve">          9165 - OTHER INCOME</v>
      </c>
      <c r="C100" s="11"/>
      <c r="D100" s="2">
        <f t="shared" si="85"/>
        <v>0</v>
      </c>
      <c r="E100" s="2"/>
      <c r="F100" s="19">
        <f t="shared" si="77"/>
        <v>0</v>
      </c>
      <c r="G100" s="2"/>
      <c r="H100" s="2">
        <f>--786.95</f>
        <v>786.95</v>
      </c>
      <c r="I100" s="2"/>
      <c r="J100" s="19">
        <f t="shared" si="78"/>
        <v>9.5883614508270997E-3</v>
      </c>
      <c r="K100" s="2"/>
      <c r="L100" s="2">
        <f t="shared" si="79"/>
        <v>-786.95</v>
      </c>
      <c r="M100" s="2"/>
      <c r="N100" s="19">
        <f t="shared" si="80"/>
        <v>-1</v>
      </c>
      <c r="O100" s="11"/>
      <c r="P100" s="2">
        <f t="shared" si="86"/>
        <v>0</v>
      </c>
      <c r="Q100" s="2"/>
      <c r="R100" s="19">
        <f t="shared" si="81"/>
        <v>0</v>
      </c>
      <c r="S100" s="2"/>
      <c r="T100" s="2">
        <f>--2102.12</f>
        <v>2102.12</v>
      </c>
      <c r="U100" s="2"/>
      <c r="V100" s="19">
        <f t="shared" si="82"/>
        <v>7.6084524429737045E-3</v>
      </c>
      <c r="W100" s="2"/>
      <c r="X100" s="2">
        <f t="shared" si="83"/>
        <v>-2102.12</v>
      </c>
      <c r="Y100" s="2"/>
      <c r="Z100" s="19">
        <f t="shared" si="84"/>
        <v>-1</v>
      </c>
    </row>
    <row r="101" spans="1:26" x14ac:dyDescent="0.3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">
      <c r="A102" s="10"/>
      <c r="B102" s="25" t="s">
        <v>276</v>
      </c>
      <c r="C102" s="25"/>
      <c r="D102" s="21">
        <f>+D23-D25+D97</f>
        <v>-155631.37999999998</v>
      </c>
      <c r="E102" s="13"/>
      <c r="F102" s="22">
        <f>IF(D$12=0,0,D102/D$12)</f>
        <v>-11.547247731267513</v>
      </c>
      <c r="G102" s="13"/>
      <c r="H102" s="21">
        <f>+H23-H25+H97</f>
        <v>-30180.220000000012</v>
      </c>
      <c r="I102" s="13"/>
      <c r="J102" s="22">
        <f>IF(H$12=0,0,H102/H$12)</f>
        <v>-0.36772203828131544</v>
      </c>
      <c r="K102" s="15"/>
      <c r="L102" s="21">
        <f>+D102-H102</f>
        <v>-125451.15999999996</v>
      </c>
      <c r="M102" s="15"/>
      <c r="N102" s="22">
        <f>IF(H102=0,0,L102/H102)</f>
        <v>4.1567344439503726</v>
      </c>
      <c r="O102" s="26"/>
      <c r="P102" s="21">
        <f>+P23-P25+P97</f>
        <v>-739866.91000000061</v>
      </c>
      <c r="Q102" s="13"/>
      <c r="R102" s="22">
        <f>IF(P$12=0,0,P102/P$12)</f>
        <v>-1.2282271439017043</v>
      </c>
      <c r="S102" s="13"/>
      <c r="T102" s="21">
        <f>+T23-T25+T97</f>
        <v>-514290.7</v>
      </c>
      <c r="U102" s="13"/>
      <c r="V102" s="22">
        <f>IF(T$12=0,0,T102/T$12)</f>
        <v>-1.8614333781200203</v>
      </c>
      <c r="W102" s="15"/>
      <c r="X102" s="21">
        <f>+P102-T102</f>
        <v>-225576.2100000006</v>
      </c>
      <c r="Y102" s="15"/>
      <c r="Z102" s="22">
        <f>IF(T102=0,0,X102/T102)</f>
        <v>0.43861615619337585</v>
      </c>
    </row>
    <row r="103" spans="1:26" x14ac:dyDescent="0.3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">
      <c r="A104" s="51"/>
      <c r="B104" s="10" t="s">
        <v>127</v>
      </c>
      <c r="C104" s="10"/>
      <c r="D104" s="4">
        <v>8848.9</v>
      </c>
      <c r="E104" s="4"/>
      <c r="F104" s="12">
        <f>IF(D$12=0,0,D104/D$12)</f>
        <v>0.65655422736220104</v>
      </c>
      <c r="G104" s="4"/>
      <c r="H104" s="4">
        <v>14219.8</v>
      </c>
      <c r="I104" s="4"/>
      <c r="J104" s="12">
        <f>IF(H$12=0,0,H104/H$12)</f>
        <v>0.17325698222056191</v>
      </c>
      <c r="K104" s="4"/>
      <c r="L104" s="4">
        <f>+D104-H104</f>
        <v>-5370.9</v>
      </c>
      <c r="M104" s="4"/>
      <c r="N104" s="12">
        <f>IF(H104=0,0,L104/H104)</f>
        <v>-0.3777057342578658</v>
      </c>
      <c r="O104" s="10"/>
      <c r="P104" s="4">
        <v>79736.27</v>
      </c>
      <c r="Q104" s="4"/>
      <c r="R104" s="12">
        <f>IF(P$12=0,0,P104/P$12)</f>
        <v>0.13236738911255685</v>
      </c>
      <c r="S104" s="4"/>
      <c r="T104" s="4">
        <v>50153.5</v>
      </c>
      <c r="U104" s="4"/>
      <c r="V104" s="12">
        <f>IF(T$12=0,0,T104/T$12)</f>
        <v>0.18152651589760896</v>
      </c>
      <c r="W104" s="4"/>
      <c r="X104" s="4">
        <f>+P104-T104</f>
        <v>29582.770000000004</v>
      </c>
      <c r="Y104" s="4"/>
      <c r="Z104" s="12">
        <f>IF(T104=0,0,X104/T104)</f>
        <v>0.58984457714815519</v>
      </c>
    </row>
    <row r="105" spans="1:26" x14ac:dyDescent="0.3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5" t="s">
        <v>125</v>
      </c>
      <c r="C106" s="25"/>
      <c r="D106" s="36">
        <f>+D102-D104</f>
        <v>-164480.27999999997</v>
      </c>
      <c r="E106" s="13"/>
      <c r="F106" s="31">
        <f>IF(D$12=0,0,D106/D$12)</f>
        <v>-12.203801958629713</v>
      </c>
      <c r="G106" s="13"/>
      <c r="H106" s="36">
        <f>+H102-H104</f>
        <v>-44400.020000000011</v>
      </c>
      <c r="I106" s="13"/>
      <c r="J106" s="31">
        <f>IF(H$12=0,0,H106/H$12)</f>
        <v>-0.54097902050187729</v>
      </c>
      <c r="K106" s="15"/>
      <c r="L106" s="36">
        <f>D106-H106</f>
        <v>-120080.25999999995</v>
      </c>
      <c r="M106" s="15"/>
      <c r="N106" s="31">
        <f>IF(H106=0,0,L106/H106)</f>
        <v>2.7045091421129972</v>
      </c>
      <c r="O106" s="26"/>
      <c r="P106" s="36">
        <f>+P102-P104</f>
        <v>-819603.18000000063</v>
      </c>
      <c r="Q106" s="13"/>
      <c r="R106" s="31">
        <f>IF(P$12=0,0,P106/P$12)</f>
        <v>-1.3605945330142613</v>
      </c>
      <c r="S106" s="13"/>
      <c r="T106" s="36">
        <f>+T102-T104</f>
        <v>-564444.19999999995</v>
      </c>
      <c r="U106" s="13"/>
      <c r="V106" s="31">
        <f>IF(T$12=0,0,T106/T$12)</f>
        <v>-2.042959894017629</v>
      </c>
      <c r="W106" s="15"/>
      <c r="X106" s="36">
        <f>P106-T106</f>
        <v>-255158.98000000068</v>
      </c>
      <c r="Y106" s="15"/>
      <c r="Z106" s="31">
        <f>IF(T106=0,0,X106/T106)</f>
        <v>0.45205350679482703</v>
      </c>
    </row>
    <row r="107" spans="1:26" ht="15" thickTop="1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3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35">
      <c r="A109" s="10"/>
      <c r="B109" s="25" t="s">
        <v>293</v>
      </c>
      <c r="C109" s="25"/>
      <c r="D109" s="35">
        <f>SUM(D106:D108)</f>
        <v>-164480.27999999997</v>
      </c>
      <c r="E109" s="13"/>
      <c r="F109" s="32">
        <f>IF(D$12=0,0,D109/D$12)</f>
        <v>-12.203801958629713</v>
      </c>
      <c r="G109" s="13"/>
      <c r="H109" s="35">
        <f>SUM(H106:H108)</f>
        <v>-44400.020000000011</v>
      </c>
      <c r="I109" s="13"/>
      <c r="J109" s="32">
        <f>IF(H$12=0,0,H109/H$12)</f>
        <v>-0.54097902050187729</v>
      </c>
      <c r="K109" s="15"/>
      <c r="L109" s="35">
        <f>+D109-H109</f>
        <v>-120080.25999999995</v>
      </c>
      <c r="M109" s="15"/>
      <c r="N109" s="32">
        <f>IF(H109=0,0,L109/H109)</f>
        <v>2.7045091421129972</v>
      </c>
      <c r="O109" s="26"/>
      <c r="P109" s="35">
        <f>SUM(P106:P108)</f>
        <v>-819603.18000000063</v>
      </c>
      <c r="Q109" s="13"/>
      <c r="R109" s="32">
        <f>IF(P$12=0,0,P109/P$12)</f>
        <v>-1.3605945330142613</v>
      </c>
      <c r="S109" s="13"/>
      <c r="T109" s="35">
        <f>SUM(T106:T108)</f>
        <v>-564444.19999999995</v>
      </c>
      <c r="U109" s="13"/>
      <c r="V109" s="32">
        <f>IF(T$12=0,0,T109/T$12)</f>
        <v>-2.042959894017629</v>
      </c>
      <c r="W109" s="15"/>
      <c r="X109" s="35">
        <f>+P109-T109</f>
        <v>-255158.98000000068</v>
      </c>
      <c r="Y109" s="15"/>
      <c r="Z109" s="32">
        <f>IF(T109=0,0,X109/T109)</f>
        <v>0.45205350679482703</v>
      </c>
    </row>
    <row r="110" spans="1:26" ht="15" thickTop="1" x14ac:dyDescent="0.3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">
      <c r="A111" s="9"/>
      <c r="B111" s="54">
        <v>44604.028446261575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3">
      <c r="A112" s="9"/>
      <c r="B112" s="53" t="s">
        <v>56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3">
      <c r="A113" s="9"/>
      <c r="B113" s="59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","405", " - ", "Caffeine Lab")</f>
        <v>Department 405 - Caffeine Lab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7237.84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7237.84</v>
      </c>
      <c r="M12" s="4"/>
      <c r="N12" s="12">
        <f t="shared" ref="N12:N14" si="1">IF(H12=0,0,L12/H12)</f>
        <v>0</v>
      </c>
      <c r="O12" s="10"/>
      <c r="P12" s="4">
        <f>SUM(OSRRefP13x_0)</f>
        <v>274097.87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274097.87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--277.17</f>
        <v>277.17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277.17</v>
      </c>
      <c r="M13" s="2"/>
      <c r="N13" s="19">
        <f t="shared" si="1"/>
        <v>0</v>
      </c>
      <c r="O13" s="11"/>
      <c r="P13" s="2">
        <f>--23703.16</f>
        <v>23703.16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23703.16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--6960.67</f>
        <v>6960.67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6960.67</v>
      </c>
      <c r="M14" s="2"/>
      <c r="N14" s="19">
        <f t="shared" si="1"/>
        <v>0</v>
      </c>
      <c r="O14" s="11"/>
      <c r="P14" s="2">
        <f>--250394.71</f>
        <v>250394.71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250394.71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6930.9800000000005</v>
      </c>
      <c r="E16" s="4"/>
      <c r="F16" s="12">
        <f t="shared" ref="F16:F18" si="6">IF(D$12=0,0,D16/D$12)</f>
        <v>0.9576033733821141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6930.9800000000005</v>
      </c>
      <c r="M16" s="4"/>
      <c r="N16" s="12">
        <f t="shared" ref="N16:N18" si="9">IF(H16=0,0,L16/H16)</f>
        <v>0</v>
      </c>
      <c r="O16" s="10"/>
      <c r="P16" s="4">
        <f>SUM(OSRRefP16x_0)</f>
        <v>119145.73</v>
      </c>
      <c r="Q16" s="4"/>
      <c r="R16" s="12">
        <f t="shared" ref="R16:R18" si="10">IF(P$12=0,0,P16/P$12)</f>
        <v>0.43468316627195969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119145.73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7696.02</v>
      </c>
      <c r="E17" s="2"/>
      <c r="F17" s="19">
        <f t="shared" si="6"/>
        <v>1.0633034164888973</v>
      </c>
      <c r="G17" s="2"/>
      <c r="H17" s="2"/>
      <c r="I17" s="2"/>
      <c r="J17" s="19">
        <f t="shared" si="7"/>
        <v>0</v>
      </c>
      <c r="K17" s="2"/>
      <c r="L17" s="2">
        <f t="shared" si="8"/>
        <v>7696.02</v>
      </c>
      <c r="M17" s="2"/>
      <c r="N17" s="19">
        <f t="shared" si="9"/>
        <v>0</v>
      </c>
      <c r="O17" s="11"/>
      <c r="P17" s="2">
        <v>101791.53</v>
      </c>
      <c r="Q17" s="2"/>
      <c r="R17" s="19">
        <f t="shared" si="10"/>
        <v>0.37136928499298444</v>
      </c>
      <c r="S17" s="2"/>
      <c r="T17" s="2"/>
      <c r="U17" s="2"/>
      <c r="V17" s="19">
        <f t="shared" si="11"/>
        <v>0</v>
      </c>
      <c r="W17" s="2"/>
      <c r="X17" s="2">
        <f t="shared" si="12"/>
        <v>101791.53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-765.04</v>
      </c>
      <c r="E18" s="2"/>
      <c r="F18" s="19">
        <f t="shared" si="6"/>
        <v>-0.10570004310678323</v>
      </c>
      <c r="G18" s="2"/>
      <c r="H18" s="2"/>
      <c r="I18" s="2"/>
      <c r="J18" s="19">
        <f t="shared" si="7"/>
        <v>0</v>
      </c>
      <c r="K18" s="2"/>
      <c r="L18" s="2">
        <f t="shared" si="8"/>
        <v>-765.04</v>
      </c>
      <c r="M18" s="2"/>
      <c r="N18" s="19">
        <f t="shared" si="9"/>
        <v>0</v>
      </c>
      <c r="O18" s="11"/>
      <c r="P18" s="2">
        <v>17354.2</v>
      </c>
      <c r="Q18" s="2"/>
      <c r="R18" s="19">
        <f t="shared" si="10"/>
        <v>6.331388127897529E-2</v>
      </c>
      <c r="S18" s="2"/>
      <c r="T18" s="2"/>
      <c r="U18" s="2"/>
      <c r="V18" s="19">
        <f t="shared" si="11"/>
        <v>0</v>
      </c>
      <c r="W18" s="2"/>
      <c r="X18" s="2">
        <f t="shared" si="12"/>
        <v>17354.2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306.85999999999967</v>
      </c>
      <c r="E20" s="13"/>
      <c r="F20" s="22">
        <f>IF(D$12=0,0,D20/D$12)</f>
        <v>4.239662661788595E-2</v>
      </c>
      <c r="G20" s="13"/>
      <c r="H20" s="21">
        <f>H12-H16</f>
        <v>0</v>
      </c>
      <c r="I20" s="13"/>
      <c r="J20" s="22">
        <f>IF(H$12=0,0,H20/H$12)</f>
        <v>0</v>
      </c>
      <c r="K20" s="15"/>
      <c r="L20" s="21">
        <f>+D20-H20</f>
        <v>306.85999999999967</v>
      </c>
      <c r="M20" s="15"/>
      <c r="N20" s="22">
        <f>IF(H20=0,0,L20/H20)</f>
        <v>0</v>
      </c>
      <c r="O20" s="26"/>
      <c r="P20" s="21">
        <f>P12-P16</f>
        <v>154952.14000000001</v>
      </c>
      <c r="Q20" s="13"/>
      <c r="R20" s="22">
        <f>IF(P$12=0,0,P20/P$12)</f>
        <v>0.56531683372804031</v>
      </c>
      <c r="S20" s="13"/>
      <c r="T20" s="21">
        <f>T12-T16</f>
        <v>0</v>
      </c>
      <c r="U20" s="13"/>
      <c r="V20" s="22">
        <f>IF(T$12=0,0,T20/T$12)</f>
        <v>0</v>
      </c>
      <c r="W20" s="15"/>
      <c r="X20" s="21">
        <f>+P20-T20</f>
        <v>154952.14000000001</v>
      </c>
      <c r="Y20" s="15"/>
      <c r="Z20" s="22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25540.080000000002</v>
      </c>
      <c r="E22" s="20"/>
      <c r="F22" s="30">
        <f t="shared" ref="F22:F31" si="14">IF(D$12=0,0,D22/D$12)</f>
        <v>3.5286881168967539</v>
      </c>
      <c r="G22" s="20"/>
      <c r="H22" s="20">
        <f>SUM(OSRRefH22x_0)</f>
        <v>5696.01</v>
      </c>
      <c r="I22" s="20"/>
      <c r="J22" s="30">
        <f t="shared" ref="J22:J31" si="15">IF(H$12=0,0,H22/H$12)</f>
        <v>0</v>
      </c>
      <c r="K22" s="4"/>
      <c r="L22" s="20">
        <f t="shared" ref="L22:L31" si="16">+D22-H22</f>
        <v>19844.07</v>
      </c>
      <c r="M22" s="4"/>
      <c r="N22" s="30">
        <f t="shared" ref="N22:N31" si="17">IF(H22=0,0,L22/H22)</f>
        <v>3.4838544876150146</v>
      </c>
      <c r="O22" s="10"/>
      <c r="P22" s="20">
        <f>SUM(OSRRefP22x_0)</f>
        <v>220832.38</v>
      </c>
      <c r="Q22" s="20"/>
      <c r="R22" s="30">
        <f t="shared" ref="R22:R31" si="18">IF(P$12=0,0,P22/P$12)</f>
        <v>0.80566981421636008</v>
      </c>
      <c r="S22" s="20"/>
      <c r="T22" s="20">
        <f>SUM(OSRRefT22x_0)</f>
        <v>50886.05000000001</v>
      </c>
      <c r="U22" s="20"/>
      <c r="V22" s="30">
        <f t="shared" ref="V22:V31" si="19">IF(T$12=0,0,T22/T$12)</f>
        <v>0</v>
      </c>
      <c r="W22" s="4"/>
      <c r="X22" s="20">
        <f t="shared" ref="X22:X31" si="20">+P22-T22</f>
        <v>169946.33</v>
      </c>
      <c r="Y22" s="4"/>
      <c r="Z22" s="30">
        <f t="shared" ref="Z22:Z31" si="21">IF(T22=0,0,X22/T22)</f>
        <v>3.3397430140480533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4733.47</v>
      </c>
      <c r="E23" s="1"/>
      <c r="F23" s="5">
        <f t="shared" si="14"/>
        <v>0.65398931172836094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4733.47</v>
      </c>
      <c r="M23" s="1"/>
      <c r="N23" s="5">
        <f t="shared" si="17"/>
        <v>0</v>
      </c>
      <c r="O23" s="14"/>
      <c r="P23" s="1">
        <f>SUM(OSRRefP22_0x_0)</f>
        <v>29740.800000000003</v>
      </c>
      <c r="Q23" s="1"/>
      <c r="R23" s="5">
        <f t="shared" si="18"/>
        <v>0.10850430906303651</v>
      </c>
      <c r="S23" s="1"/>
      <c r="T23" s="1">
        <f>SUM(OSRRefT22_0x_0)</f>
        <v>0.83</v>
      </c>
      <c r="U23" s="1"/>
      <c r="V23" s="5">
        <f t="shared" si="19"/>
        <v>0</v>
      </c>
      <c r="W23" s="1"/>
      <c r="X23" s="1">
        <f t="shared" si="20"/>
        <v>29739.97</v>
      </c>
      <c r="Y23" s="1"/>
      <c r="Z23" s="5">
        <f t="shared" si="21"/>
        <v>35831.28915662651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730.58</v>
      </c>
      <c r="E24" s="2"/>
      <c r="F24" s="6">
        <f t="shared" si="14"/>
        <v>0.10093895416312049</v>
      </c>
      <c r="G24" s="2"/>
      <c r="H24" s="7"/>
      <c r="I24" s="2"/>
      <c r="J24" s="6">
        <f t="shared" si="15"/>
        <v>0</v>
      </c>
      <c r="K24" s="2"/>
      <c r="L24" s="7">
        <f t="shared" si="16"/>
        <v>730.58</v>
      </c>
      <c r="M24" s="2"/>
      <c r="N24" s="6">
        <f t="shared" si="17"/>
        <v>0</v>
      </c>
      <c r="O24" s="11"/>
      <c r="P24" s="7">
        <v>5408.79</v>
      </c>
      <c r="Q24" s="2"/>
      <c r="R24" s="6">
        <f t="shared" si="18"/>
        <v>1.9733061041298863E-2</v>
      </c>
      <c r="S24" s="2"/>
      <c r="T24" s="7">
        <v>0.83</v>
      </c>
      <c r="U24" s="2"/>
      <c r="V24" s="6">
        <f t="shared" si="19"/>
        <v>0</v>
      </c>
      <c r="W24" s="2"/>
      <c r="X24" s="7">
        <f t="shared" si="20"/>
        <v>5407.96</v>
      </c>
      <c r="Y24" s="2"/>
      <c r="Z24" s="6">
        <f t="shared" si="21"/>
        <v>6515.614457831326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385.71</v>
      </c>
      <c r="E25" s="2"/>
      <c r="F25" s="6">
        <f t="shared" si="14"/>
        <v>5.3290760779459059E-2</v>
      </c>
      <c r="G25" s="2"/>
      <c r="H25" s="7"/>
      <c r="I25" s="2"/>
      <c r="J25" s="6">
        <f t="shared" si="15"/>
        <v>0</v>
      </c>
      <c r="K25" s="2"/>
      <c r="L25" s="7">
        <f t="shared" si="16"/>
        <v>385.71</v>
      </c>
      <c r="M25" s="2"/>
      <c r="N25" s="6">
        <f t="shared" si="17"/>
        <v>0</v>
      </c>
      <c r="O25" s="11"/>
      <c r="P25" s="7">
        <v>4210.1899999999996</v>
      </c>
      <c r="Q25" s="2"/>
      <c r="R25" s="6">
        <f t="shared" si="18"/>
        <v>1.536017043839122E-2</v>
      </c>
      <c r="S25" s="2"/>
      <c r="T25" s="7"/>
      <c r="U25" s="2"/>
      <c r="V25" s="6">
        <f t="shared" si="19"/>
        <v>0</v>
      </c>
      <c r="W25" s="2"/>
      <c r="X25" s="7">
        <f t="shared" si="20"/>
        <v>4210.1899999999996</v>
      </c>
      <c r="Y25" s="2"/>
      <c r="Z25" s="6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2033.2</v>
      </c>
      <c r="E26" s="2"/>
      <c r="F26" s="6">
        <f t="shared" si="14"/>
        <v>0.28091253744210981</v>
      </c>
      <c r="G26" s="2"/>
      <c r="H26" s="7"/>
      <c r="I26" s="2"/>
      <c r="J26" s="6">
        <f t="shared" si="15"/>
        <v>0</v>
      </c>
      <c r="K26" s="2"/>
      <c r="L26" s="7">
        <f t="shared" si="16"/>
        <v>2033.2</v>
      </c>
      <c r="M26" s="2"/>
      <c r="N26" s="6">
        <f t="shared" si="17"/>
        <v>0</v>
      </c>
      <c r="O26" s="11"/>
      <c r="P26" s="7">
        <v>9633.0300000000007</v>
      </c>
      <c r="Q26" s="2"/>
      <c r="R26" s="6">
        <f t="shared" si="18"/>
        <v>3.5144490542739354E-2</v>
      </c>
      <c r="S26" s="2"/>
      <c r="T26" s="7"/>
      <c r="U26" s="2"/>
      <c r="V26" s="6">
        <f t="shared" si="19"/>
        <v>0</v>
      </c>
      <c r="W26" s="2"/>
      <c r="X26" s="7">
        <f t="shared" si="20"/>
        <v>9633.0300000000007</v>
      </c>
      <c r="Y26" s="2"/>
      <c r="Z26" s="6">
        <f t="shared" si="21"/>
        <v>0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27.86</v>
      </c>
      <c r="E27" s="2"/>
      <c r="F27" s="6">
        <f t="shared" si="14"/>
        <v>3.8492146828335524E-3</v>
      </c>
      <c r="G27" s="2"/>
      <c r="H27" s="7"/>
      <c r="I27" s="2"/>
      <c r="J27" s="6">
        <f t="shared" si="15"/>
        <v>0</v>
      </c>
      <c r="K27" s="2"/>
      <c r="L27" s="7">
        <f t="shared" si="16"/>
        <v>27.86</v>
      </c>
      <c r="M27" s="2"/>
      <c r="N27" s="6">
        <f t="shared" si="17"/>
        <v>0</v>
      </c>
      <c r="O27" s="11"/>
      <c r="P27" s="7">
        <v>304.07</v>
      </c>
      <c r="Q27" s="2"/>
      <c r="R27" s="6">
        <f t="shared" si="18"/>
        <v>1.109348277679064E-3</v>
      </c>
      <c r="S27" s="2"/>
      <c r="T27" s="7"/>
      <c r="U27" s="2"/>
      <c r="V27" s="6">
        <f t="shared" si="19"/>
        <v>0</v>
      </c>
      <c r="W27" s="2"/>
      <c r="X27" s="7">
        <f t="shared" si="20"/>
        <v>304.07</v>
      </c>
      <c r="Y27" s="2"/>
      <c r="Z27" s="6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408.69</v>
      </c>
      <c r="E28" s="2"/>
      <c r="F28" s="6">
        <f t="shared" si="14"/>
        <v>5.6465741160346181E-2</v>
      </c>
      <c r="G28" s="2"/>
      <c r="H28" s="7"/>
      <c r="I28" s="2"/>
      <c r="J28" s="6">
        <f t="shared" si="15"/>
        <v>0</v>
      </c>
      <c r="K28" s="2"/>
      <c r="L28" s="7">
        <f t="shared" si="16"/>
        <v>408.69</v>
      </c>
      <c r="M28" s="2"/>
      <c r="N28" s="6">
        <f t="shared" si="17"/>
        <v>0</v>
      </c>
      <c r="O28" s="11"/>
      <c r="P28" s="7">
        <v>2901.7</v>
      </c>
      <c r="Q28" s="2"/>
      <c r="R28" s="6">
        <f t="shared" si="18"/>
        <v>1.0586364644132405E-2</v>
      </c>
      <c r="S28" s="2"/>
      <c r="T28" s="7"/>
      <c r="U28" s="2"/>
      <c r="V28" s="6">
        <f t="shared" si="19"/>
        <v>0</v>
      </c>
      <c r="W28" s="2"/>
      <c r="X28" s="7">
        <f t="shared" si="20"/>
        <v>2901.7</v>
      </c>
      <c r="Y28" s="2"/>
      <c r="Z28" s="6">
        <f t="shared" si="21"/>
        <v>0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>
        <v>342.58</v>
      </c>
      <c r="E29" s="2"/>
      <c r="F29" s="6">
        <f t="shared" si="14"/>
        <v>4.7331800647707048E-2</v>
      </c>
      <c r="G29" s="2"/>
      <c r="H29" s="7"/>
      <c r="I29" s="2"/>
      <c r="J29" s="6">
        <f t="shared" si="15"/>
        <v>0</v>
      </c>
      <c r="K29" s="2"/>
      <c r="L29" s="7">
        <f t="shared" si="16"/>
        <v>342.58</v>
      </c>
      <c r="M29" s="2"/>
      <c r="N29" s="6">
        <f t="shared" si="17"/>
        <v>0</v>
      </c>
      <c r="O29" s="11"/>
      <c r="P29" s="7">
        <v>2304.17</v>
      </c>
      <c r="Q29" s="2"/>
      <c r="R29" s="6">
        <f t="shared" si="18"/>
        <v>8.4063768901232253E-3</v>
      </c>
      <c r="S29" s="2"/>
      <c r="T29" s="7"/>
      <c r="U29" s="2"/>
      <c r="V29" s="6">
        <f t="shared" si="19"/>
        <v>0</v>
      </c>
      <c r="W29" s="2"/>
      <c r="X29" s="7">
        <f t="shared" si="20"/>
        <v>2304.17</v>
      </c>
      <c r="Y29" s="2"/>
      <c r="Z29" s="6">
        <f t="shared" si="21"/>
        <v>0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>
        <v>396.8</v>
      </c>
      <c r="E30" s="2"/>
      <c r="F30" s="6">
        <f t="shared" si="14"/>
        <v>5.4822985863185701E-2</v>
      </c>
      <c r="G30" s="2"/>
      <c r="H30" s="7"/>
      <c r="I30" s="2"/>
      <c r="J30" s="6">
        <f t="shared" si="15"/>
        <v>0</v>
      </c>
      <c r="K30" s="2"/>
      <c r="L30" s="7">
        <f t="shared" si="16"/>
        <v>396.8</v>
      </c>
      <c r="M30" s="2"/>
      <c r="N30" s="6">
        <f t="shared" si="17"/>
        <v>0</v>
      </c>
      <c r="O30" s="11"/>
      <c r="P30" s="7">
        <v>2670.17</v>
      </c>
      <c r="Q30" s="2"/>
      <c r="R30" s="6">
        <f t="shared" si="18"/>
        <v>9.7416663617269274E-3</v>
      </c>
      <c r="S30" s="2"/>
      <c r="T30" s="7"/>
      <c r="U30" s="2"/>
      <c r="V30" s="6">
        <f t="shared" si="19"/>
        <v>0</v>
      </c>
      <c r="W30" s="2"/>
      <c r="X30" s="7">
        <f t="shared" si="20"/>
        <v>2670.17</v>
      </c>
      <c r="Y30" s="2"/>
      <c r="Z30" s="6">
        <f t="shared" si="21"/>
        <v>0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7">
        <v>408.05</v>
      </c>
      <c r="E31" s="2"/>
      <c r="F31" s="6">
        <f t="shared" si="14"/>
        <v>5.6377316989599108E-2</v>
      </c>
      <c r="G31" s="2"/>
      <c r="H31" s="7"/>
      <c r="I31" s="2"/>
      <c r="J31" s="6">
        <f t="shared" si="15"/>
        <v>0</v>
      </c>
      <c r="K31" s="2"/>
      <c r="L31" s="7">
        <f t="shared" si="16"/>
        <v>408.05</v>
      </c>
      <c r="M31" s="2"/>
      <c r="N31" s="6">
        <f t="shared" si="17"/>
        <v>0</v>
      </c>
      <c r="O31" s="11"/>
      <c r="P31" s="7">
        <v>2308.6799999999998</v>
      </c>
      <c r="Q31" s="2"/>
      <c r="R31" s="6">
        <f t="shared" si="18"/>
        <v>8.4228308669454452E-3</v>
      </c>
      <c r="S31" s="2"/>
      <c r="T31" s="7"/>
      <c r="U31" s="2"/>
      <c r="V31" s="6">
        <f t="shared" si="19"/>
        <v>0</v>
      </c>
      <c r="W31" s="2"/>
      <c r="X31" s="7">
        <f t="shared" si="20"/>
        <v>2308.6799999999998</v>
      </c>
      <c r="Y31" s="2"/>
      <c r="Z31" s="6">
        <f t="shared" si="21"/>
        <v>0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12596.349999999999</v>
      </c>
      <c r="E32" s="1"/>
      <c r="F32" s="5">
        <f t="shared" ref="F32:F36" si="22">IF(D$12=0,0,D32/D$12)</f>
        <v>1.7403465674842216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12596.349999999999</v>
      </c>
      <c r="M32" s="1"/>
      <c r="N32" s="5">
        <f t="shared" ref="N32:N36" si="25">IF(H32=0,0,L32/H32)</f>
        <v>0</v>
      </c>
      <c r="O32" s="14"/>
      <c r="P32" s="1">
        <f>SUM(OSRRefP22_1x_0)</f>
        <v>116103.76999999999</v>
      </c>
      <c r="Q32" s="1"/>
      <c r="R32" s="5">
        <f t="shared" ref="R32:R36" si="26">IF(P$12=0,0,P32/P$12)</f>
        <v>0.42358508659698813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116103.76999999999</v>
      </c>
      <c r="Y32" s="1"/>
      <c r="Z32" s="5">
        <f t="shared" ref="Z32:Z36" si="29">IF(T32=0,0,X32/T32)</f>
        <v>0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5653.7</v>
      </c>
      <c r="E33" s="2"/>
      <c r="F33" s="6">
        <f t="shared" si="22"/>
        <v>0.78113083461364163</v>
      </c>
      <c r="G33" s="2"/>
      <c r="H33" s="7"/>
      <c r="I33" s="2"/>
      <c r="J33" s="6">
        <f t="shared" si="23"/>
        <v>0</v>
      </c>
      <c r="K33" s="2"/>
      <c r="L33" s="7">
        <f t="shared" si="24"/>
        <v>5653.7</v>
      </c>
      <c r="M33" s="2"/>
      <c r="N33" s="6">
        <f t="shared" si="25"/>
        <v>0</v>
      </c>
      <c r="O33" s="11"/>
      <c r="P33" s="7">
        <v>37692.18</v>
      </c>
      <c r="Q33" s="2"/>
      <c r="R33" s="6">
        <f t="shared" si="26"/>
        <v>0.1375135822835836</v>
      </c>
      <c r="S33" s="2"/>
      <c r="T33" s="7"/>
      <c r="U33" s="2"/>
      <c r="V33" s="6">
        <f t="shared" si="27"/>
        <v>0</v>
      </c>
      <c r="W33" s="2"/>
      <c r="X33" s="7">
        <f t="shared" si="28"/>
        <v>37692.18</v>
      </c>
      <c r="Y33" s="2"/>
      <c r="Z33" s="6">
        <f t="shared" si="29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1535.2</v>
      </c>
      <c r="E34" s="2"/>
      <c r="F34" s="6">
        <f t="shared" si="22"/>
        <v>0.21210747957954307</v>
      </c>
      <c r="G34" s="2"/>
      <c r="H34" s="7"/>
      <c r="I34" s="2"/>
      <c r="J34" s="6">
        <f t="shared" si="23"/>
        <v>0</v>
      </c>
      <c r="K34" s="2"/>
      <c r="L34" s="7">
        <f t="shared" si="24"/>
        <v>1535.2</v>
      </c>
      <c r="M34" s="2"/>
      <c r="N34" s="6">
        <f t="shared" si="25"/>
        <v>0</v>
      </c>
      <c r="O34" s="11"/>
      <c r="P34" s="7">
        <v>12613.93</v>
      </c>
      <c r="Q34" s="2"/>
      <c r="R34" s="6">
        <f t="shared" si="26"/>
        <v>4.6019803072530265E-2</v>
      </c>
      <c r="S34" s="2"/>
      <c r="T34" s="7"/>
      <c r="U34" s="2"/>
      <c r="V34" s="6">
        <f t="shared" si="27"/>
        <v>0</v>
      </c>
      <c r="W34" s="2"/>
      <c r="X34" s="7">
        <f t="shared" si="28"/>
        <v>12613.93</v>
      </c>
      <c r="Y34" s="2"/>
      <c r="Z34" s="6">
        <f t="shared" si="29"/>
        <v>0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2356.4499999999998</v>
      </c>
      <c r="E35" s="2"/>
      <c r="F35" s="6">
        <f t="shared" si="22"/>
        <v>0.32557365180772163</v>
      </c>
      <c r="G35" s="2"/>
      <c r="H35" s="7"/>
      <c r="I35" s="2"/>
      <c r="J35" s="6">
        <f t="shared" si="23"/>
        <v>0</v>
      </c>
      <c r="K35" s="2"/>
      <c r="L35" s="7">
        <f t="shared" si="24"/>
        <v>2356.4499999999998</v>
      </c>
      <c r="M35" s="2"/>
      <c r="N35" s="6">
        <f t="shared" si="25"/>
        <v>0</v>
      </c>
      <c r="O35" s="11"/>
      <c r="P35" s="7">
        <v>14322.6</v>
      </c>
      <c r="Q35" s="2"/>
      <c r="R35" s="6">
        <f t="shared" si="26"/>
        <v>5.2253598322380253E-2</v>
      </c>
      <c r="S35" s="2"/>
      <c r="T35" s="7"/>
      <c r="U35" s="2"/>
      <c r="V35" s="6">
        <f t="shared" si="27"/>
        <v>0</v>
      </c>
      <c r="W35" s="2"/>
      <c r="X35" s="7">
        <f t="shared" si="28"/>
        <v>14322.6</v>
      </c>
      <c r="Y35" s="2"/>
      <c r="Z35" s="6">
        <f t="shared" si="29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3051</v>
      </c>
      <c r="E36" s="2"/>
      <c r="F36" s="6">
        <f t="shared" si="22"/>
        <v>0.42153460148331545</v>
      </c>
      <c r="G36" s="2"/>
      <c r="H36" s="7"/>
      <c r="I36" s="2"/>
      <c r="J36" s="6">
        <f t="shared" si="23"/>
        <v>0</v>
      </c>
      <c r="K36" s="2"/>
      <c r="L36" s="7">
        <f t="shared" si="24"/>
        <v>3051</v>
      </c>
      <c r="M36" s="2"/>
      <c r="N36" s="6">
        <f t="shared" si="25"/>
        <v>0</v>
      </c>
      <c r="O36" s="11"/>
      <c r="P36" s="7">
        <v>51475.06</v>
      </c>
      <c r="Q36" s="2"/>
      <c r="R36" s="6">
        <f t="shared" si="26"/>
        <v>0.18779810291849403</v>
      </c>
      <c r="S36" s="2"/>
      <c r="T36" s="7"/>
      <c r="U36" s="2"/>
      <c r="V36" s="6">
        <f t="shared" si="27"/>
        <v>0</v>
      </c>
      <c r="W36" s="2"/>
      <c r="X36" s="7">
        <f t="shared" si="28"/>
        <v>51475.06</v>
      </c>
      <c r="Y36" s="2"/>
      <c r="Z36" s="6">
        <f t="shared" si="29"/>
        <v>0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22.71</v>
      </c>
      <c r="E37" s="1"/>
      <c r="F37" s="5">
        <f t="shared" ref="F37:F45" si="30">IF(D$12=0,0,D37/D$12)</f>
        <v>3.1376764338531937E-3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22.71</v>
      </c>
      <c r="M37" s="1"/>
      <c r="N37" s="5">
        <f t="shared" ref="N37:N45" si="33">IF(H37=0,0,L37/H37)</f>
        <v>0</v>
      </c>
      <c r="O37" s="14"/>
      <c r="P37" s="1">
        <f>SUM(OSRRefP22_2x_0)</f>
        <v>240.97</v>
      </c>
      <c r="Q37" s="1"/>
      <c r="R37" s="5">
        <f t="shared" ref="R37:R45" si="34">IF(P$12=0,0,P37/P$12)</f>
        <v>8.7913853544356255E-4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240.97</v>
      </c>
      <c r="Y37" s="1"/>
      <c r="Z37" s="5">
        <f t="shared" ref="Z37:Z45" si="3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22.71</v>
      </c>
      <c r="E38" s="2"/>
      <c r="F38" s="6">
        <f t="shared" si="30"/>
        <v>3.1376764338531937E-3</v>
      </c>
      <c r="G38" s="2"/>
      <c r="H38" s="7"/>
      <c r="I38" s="2"/>
      <c r="J38" s="6">
        <f t="shared" si="31"/>
        <v>0</v>
      </c>
      <c r="K38" s="2"/>
      <c r="L38" s="7">
        <f t="shared" si="32"/>
        <v>22.71</v>
      </c>
      <c r="M38" s="2"/>
      <c r="N38" s="6">
        <f t="shared" si="33"/>
        <v>0</v>
      </c>
      <c r="O38" s="11"/>
      <c r="P38" s="7">
        <v>240.97</v>
      </c>
      <c r="Q38" s="2"/>
      <c r="R38" s="6">
        <f t="shared" si="34"/>
        <v>8.7913853544356255E-4</v>
      </c>
      <c r="S38" s="2"/>
      <c r="T38" s="7"/>
      <c r="U38" s="2"/>
      <c r="V38" s="6">
        <f t="shared" si="35"/>
        <v>0</v>
      </c>
      <c r="W38" s="2"/>
      <c r="X38" s="7">
        <f t="shared" si="36"/>
        <v>240.97</v>
      </c>
      <c r="Y38" s="2"/>
      <c r="Z38" s="6">
        <f t="shared" si="37"/>
        <v>0</v>
      </c>
    </row>
    <row r="39" spans="1:26" s="29" customFormat="1" outlineLevel="1" collapsed="1" x14ac:dyDescent="0.3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-0.55000000000000004</v>
      </c>
      <c r="E39" s="1"/>
      <c r="F39" s="5">
        <f t="shared" si="30"/>
        <v>-7.5989521735766481E-5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-0.55000000000000004</v>
      </c>
      <c r="M39" s="1"/>
      <c r="N39" s="5">
        <f t="shared" si="33"/>
        <v>0</v>
      </c>
      <c r="O39" s="14"/>
      <c r="P39" s="1">
        <f>SUM(OSRRefP22_3x_0)</f>
        <v>-83.21</v>
      </c>
      <c r="Q39" s="1"/>
      <c r="R39" s="5">
        <f t="shared" si="34"/>
        <v>-3.0357769653591252E-4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-83.21</v>
      </c>
      <c r="Y39" s="1"/>
      <c r="Z39" s="5">
        <f t="shared" si="37"/>
        <v>0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7">
        <v>-0.55000000000000004</v>
      </c>
      <c r="E40" s="2"/>
      <c r="F40" s="6">
        <f t="shared" si="30"/>
        <v>-7.5989521735766481E-5</v>
      </c>
      <c r="G40" s="2"/>
      <c r="H40" s="7"/>
      <c r="I40" s="2"/>
      <c r="J40" s="6">
        <f t="shared" si="31"/>
        <v>0</v>
      </c>
      <c r="K40" s="2"/>
      <c r="L40" s="7">
        <f t="shared" si="32"/>
        <v>-0.55000000000000004</v>
      </c>
      <c r="M40" s="2"/>
      <c r="N40" s="6">
        <f t="shared" si="33"/>
        <v>0</v>
      </c>
      <c r="O40" s="11"/>
      <c r="P40" s="7">
        <v>-83.21</v>
      </c>
      <c r="Q40" s="2"/>
      <c r="R40" s="6">
        <f t="shared" si="34"/>
        <v>-3.0357769653591252E-4</v>
      </c>
      <c r="S40" s="2"/>
      <c r="T40" s="7"/>
      <c r="U40" s="2"/>
      <c r="V40" s="6">
        <f t="shared" si="35"/>
        <v>0</v>
      </c>
      <c r="W40" s="2"/>
      <c r="X40" s="7">
        <f t="shared" si="36"/>
        <v>-83.21</v>
      </c>
      <c r="Y40" s="2"/>
      <c r="Z40" s="6">
        <f t="shared" si="37"/>
        <v>0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181.66</v>
      </c>
      <c r="E41" s="1"/>
      <c r="F41" s="5">
        <f t="shared" si="30"/>
        <v>2.5098648215489704E-2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181.66</v>
      </c>
      <c r="M41" s="1"/>
      <c r="N41" s="5">
        <f t="shared" si="33"/>
        <v>0</v>
      </c>
      <c r="O41" s="14"/>
      <c r="P41" s="1">
        <f>SUM(OSRRefP22_4x_0)</f>
        <v>9896.35</v>
      </c>
      <c r="Q41" s="1"/>
      <c r="R41" s="5">
        <f t="shared" si="34"/>
        <v>3.610516929591609E-2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9896.35</v>
      </c>
      <c r="Y41" s="1"/>
      <c r="Z41" s="5">
        <f t="shared" si="37"/>
        <v>0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181.66</v>
      </c>
      <c r="E42" s="2"/>
      <c r="F42" s="6">
        <f t="shared" si="30"/>
        <v>2.5098648215489704E-2</v>
      </c>
      <c r="G42" s="2"/>
      <c r="H42" s="7"/>
      <c r="I42" s="2"/>
      <c r="J42" s="6">
        <f t="shared" si="31"/>
        <v>0</v>
      </c>
      <c r="K42" s="2"/>
      <c r="L42" s="7">
        <f t="shared" si="32"/>
        <v>181.66</v>
      </c>
      <c r="M42" s="2"/>
      <c r="N42" s="6">
        <f t="shared" si="33"/>
        <v>0</v>
      </c>
      <c r="O42" s="11"/>
      <c r="P42" s="7">
        <v>9896.35</v>
      </c>
      <c r="Q42" s="2"/>
      <c r="R42" s="6">
        <f t="shared" si="34"/>
        <v>3.610516929591609E-2</v>
      </c>
      <c r="S42" s="2"/>
      <c r="T42" s="7"/>
      <c r="U42" s="2"/>
      <c r="V42" s="6">
        <f t="shared" si="35"/>
        <v>0</v>
      </c>
      <c r="W42" s="2"/>
      <c r="X42" s="7">
        <f t="shared" si="36"/>
        <v>9896.35</v>
      </c>
      <c r="Y42" s="2"/>
      <c r="Z42" s="6">
        <f t="shared" si="37"/>
        <v>0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0.6392100405645883</v>
      </c>
      <c r="G43" s="1"/>
      <c r="H43" s="1">
        <f>SUM(OSRRefH22_5x_0)</f>
        <v>5233.01</v>
      </c>
      <c r="I43" s="1"/>
      <c r="J43" s="5">
        <f t="shared" si="31"/>
        <v>0</v>
      </c>
      <c r="K43" s="1"/>
      <c r="L43" s="1">
        <f t="shared" si="32"/>
        <v>-606.51000000000022</v>
      </c>
      <c r="M43" s="1"/>
      <c r="N43" s="5">
        <f t="shared" si="33"/>
        <v>-0.11590079132277603</v>
      </c>
      <c r="O43" s="14"/>
      <c r="P43" s="1">
        <f>SUM(OSRRefP22_5x_0)</f>
        <v>32385.5</v>
      </c>
      <c r="Q43" s="1"/>
      <c r="R43" s="5">
        <f t="shared" si="34"/>
        <v>0.11815305241153461</v>
      </c>
      <c r="S43" s="1"/>
      <c r="T43" s="1">
        <f>SUM(OSRRefT22_5x_0)</f>
        <v>36922.19</v>
      </c>
      <c r="U43" s="1"/>
      <c r="V43" s="5">
        <f t="shared" si="35"/>
        <v>0</v>
      </c>
      <c r="W43" s="1"/>
      <c r="X43" s="1">
        <f t="shared" si="36"/>
        <v>-4536.6900000000023</v>
      </c>
      <c r="Y43" s="1"/>
      <c r="Z43" s="5">
        <f t="shared" si="37"/>
        <v>-0.12287163897916137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6">
        <f t="shared" si="30"/>
        <v>0.6392100405645883</v>
      </c>
      <c r="G44" s="2"/>
      <c r="H44" s="7">
        <v>4626.5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32385.5</v>
      </c>
      <c r="Q44" s="2"/>
      <c r="R44" s="6">
        <f t="shared" si="34"/>
        <v>0.11815305241153461</v>
      </c>
      <c r="S44" s="2"/>
      <c r="T44" s="7">
        <v>32385.5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/>
      <c r="E45" s="2"/>
      <c r="F45" s="6">
        <f t="shared" si="30"/>
        <v>0</v>
      </c>
      <c r="G45" s="2"/>
      <c r="H45" s="7">
        <v>606.51</v>
      </c>
      <c r="I45" s="2"/>
      <c r="J45" s="6">
        <f t="shared" si="31"/>
        <v>0</v>
      </c>
      <c r="K45" s="2"/>
      <c r="L45" s="7">
        <f t="shared" si="32"/>
        <v>-606.51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4536.6899999999996</v>
      </c>
      <c r="U45" s="2"/>
      <c r="V45" s="6">
        <f t="shared" si="35"/>
        <v>0</v>
      </c>
      <c r="W45" s="2"/>
      <c r="X45" s="7">
        <f t="shared" si="36"/>
        <v>-4536.6899999999996</v>
      </c>
      <c r="Y45" s="2"/>
      <c r="Z45" s="6">
        <f t="shared" si="37"/>
        <v>-1</v>
      </c>
    </row>
    <row r="46" spans="1:26" s="29" customFormat="1" outlineLevel="1" collapsed="1" x14ac:dyDescent="0.3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4"/>
      <c r="P46" s="1">
        <f>SUM(OSRRefP22_6x_0)</f>
        <v>246.92</v>
      </c>
      <c r="Q46" s="1"/>
      <c r="R46" s="5">
        <f t="shared" ref="R46:R56" si="42">IF(P$12=0,0,P46/P$12)</f>
        <v>9.0084611018684669E-4</v>
      </c>
      <c r="S46" s="1"/>
      <c r="T46" s="1">
        <f>SUM(OSRRefT22_6x_0)</f>
        <v>0</v>
      </c>
      <c r="U46" s="1"/>
      <c r="V46" s="5">
        <f t="shared" ref="V46:V56" si="43">IF(T$12=0,0,T46/T$12)</f>
        <v>0</v>
      </c>
      <c r="W46" s="1"/>
      <c r="X46" s="1">
        <f t="shared" ref="X46:X56" si="44">+P46-T46</f>
        <v>246.92</v>
      </c>
      <c r="Y46" s="1"/>
      <c r="Z46" s="5">
        <f t="shared" ref="Z46:Z56" si="45">IF(T46=0,0,X46/T46)</f>
        <v>0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8"/>
        <v>0</v>
      </c>
      <c r="G47" s="2"/>
      <c r="H47" s="7"/>
      <c r="I47" s="2"/>
      <c r="J47" s="6">
        <f t="shared" si="39"/>
        <v>0</v>
      </c>
      <c r="K47" s="2"/>
      <c r="L47" s="7">
        <f t="shared" si="40"/>
        <v>0</v>
      </c>
      <c r="M47" s="2"/>
      <c r="N47" s="6">
        <f t="shared" si="41"/>
        <v>0</v>
      </c>
      <c r="O47" s="11"/>
      <c r="P47" s="7">
        <v>246.92</v>
      </c>
      <c r="Q47" s="2"/>
      <c r="R47" s="6">
        <f t="shared" si="42"/>
        <v>9.0084611018684669E-4</v>
      </c>
      <c r="S47" s="2"/>
      <c r="T47" s="7"/>
      <c r="U47" s="2"/>
      <c r="V47" s="6">
        <f t="shared" si="43"/>
        <v>0</v>
      </c>
      <c r="W47" s="2"/>
      <c r="X47" s="7">
        <f t="shared" si="44"/>
        <v>246.92</v>
      </c>
      <c r="Y47" s="2"/>
      <c r="Z47" s="6">
        <f t="shared" si="45"/>
        <v>0</v>
      </c>
    </row>
    <row r="48" spans="1:26" s="29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96.3</v>
      </c>
      <c r="U48" s="1"/>
      <c r="V48" s="5">
        <f t="shared" si="43"/>
        <v>0</v>
      </c>
      <c r="W48" s="1"/>
      <c r="X48" s="1">
        <f t="shared" si="44"/>
        <v>-96.3</v>
      </c>
      <c r="Y48" s="1"/>
      <c r="Z48" s="5">
        <f t="shared" si="45"/>
        <v>-1</v>
      </c>
    </row>
    <row r="49" spans="1:26" s="24" customFormat="1" hidden="1" outlineLevel="2" x14ac:dyDescent="0.3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8"/>
        <v>0</v>
      </c>
      <c r="G49" s="2"/>
      <c r="H49" s="7"/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/>
      <c r="Q49" s="2"/>
      <c r="R49" s="6">
        <f t="shared" si="42"/>
        <v>0</v>
      </c>
      <c r="S49" s="2"/>
      <c r="T49" s="7">
        <v>96.3</v>
      </c>
      <c r="U49" s="2"/>
      <c r="V49" s="6">
        <f t="shared" si="43"/>
        <v>0</v>
      </c>
      <c r="W49" s="2"/>
      <c r="X49" s="7">
        <f t="shared" si="44"/>
        <v>-96.3</v>
      </c>
      <c r="Y49" s="2"/>
      <c r="Z49" s="6">
        <f t="shared" si="45"/>
        <v>-1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4"/>
      <c r="P50" s="1">
        <f>SUM(OSRRefP22_8x_0)</f>
        <v>1893.3</v>
      </c>
      <c r="Q50" s="1"/>
      <c r="R50" s="5">
        <f t="shared" si="42"/>
        <v>6.907386766631933E-3</v>
      </c>
      <c r="S50" s="1"/>
      <c r="T50" s="1">
        <f>SUM(OSRRefT22_8x_0)</f>
        <v>0</v>
      </c>
      <c r="U50" s="1"/>
      <c r="V50" s="5">
        <f t="shared" si="43"/>
        <v>0</v>
      </c>
      <c r="W50" s="1"/>
      <c r="X50" s="1">
        <f t="shared" si="44"/>
        <v>1893.3</v>
      </c>
      <c r="Y50" s="1"/>
      <c r="Z50" s="5">
        <f t="shared" si="45"/>
        <v>0</v>
      </c>
    </row>
    <row r="51" spans="1:26" s="24" customFormat="1" hidden="1" outlineLevel="2" x14ac:dyDescent="0.3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8"/>
        <v>0</v>
      </c>
      <c r="G51" s="2"/>
      <c r="H51" s="7"/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>
        <v>1893.3</v>
      </c>
      <c r="Q51" s="2"/>
      <c r="R51" s="6">
        <f t="shared" si="42"/>
        <v>6.907386766631933E-3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1893.3</v>
      </c>
      <c r="Y51" s="2"/>
      <c r="Z51" s="6">
        <f t="shared" si="45"/>
        <v>0</v>
      </c>
    </row>
    <row r="52" spans="1:26" s="29" customFormat="1" outlineLevel="1" collapsed="1" x14ac:dyDescent="0.3">
      <c r="A52" s="28"/>
      <c r="B52" s="14" t="str">
        <f>CONCATENATE("     ","Rent                                              ")</f>
        <v xml:space="preserve">     Rent                                              </v>
      </c>
      <c r="C52" s="14"/>
      <c r="D52" s="1">
        <f>SUM(OSRRefD22_9x_0)</f>
        <v>1850</v>
      </c>
      <c r="E52" s="1"/>
      <c r="F52" s="5">
        <f t="shared" si="38"/>
        <v>0.25560111856575995</v>
      </c>
      <c r="G52" s="1"/>
      <c r="H52" s="1">
        <f>SUM(OSRRefH22_9x_0)</f>
        <v>0</v>
      </c>
      <c r="I52" s="1"/>
      <c r="J52" s="5">
        <f t="shared" si="39"/>
        <v>0</v>
      </c>
      <c r="K52" s="1"/>
      <c r="L52" s="1">
        <f t="shared" si="40"/>
        <v>1850</v>
      </c>
      <c r="M52" s="1"/>
      <c r="N52" s="5">
        <f t="shared" si="41"/>
        <v>0</v>
      </c>
      <c r="O52" s="14"/>
      <c r="P52" s="1">
        <f>SUM(OSRRefP22_9x_0)</f>
        <v>12950</v>
      </c>
      <c r="Q52" s="1"/>
      <c r="R52" s="5">
        <f t="shared" si="42"/>
        <v>4.7245897970677408E-2</v>
      </c>
      <c r="S52" s="1"/>
      <c r="T52" s="1">
        <f>SUM(OSRRefT22_9x_0)</f>
        <v>11100</v>
      </c>
      <c r="U52" s="1"/>
      <c r="V52" s="5">
        <f t="shared" si="43"/>
        <v>0</v>
      </c>
      <c r="W52" s="1"/>
      <c r="X52" s="1">
        <f t="shared" si="44"/>
        <v>1850</v>
      </c>
      <c r="Y52" s="1"/>
      <c r="Z52" s="5">
        <f t="shared" si="45"/>
        <v>0.16666666666666666</v>
      </c>
    </row>
    <row r="53" spans="1:26" s="24" customFormat="1" hidden="1" outlineLevel="2" x14ac:dyDescent="0.3">
      <c r="A53" s="27"/>
      <c r="B53" s="11" t="str">
        <f>CONCATENATE("          ", "6273", " - ", "RENT")</f>
        <v xml:space="preserve">          6273 - RENT</v>
      </c>
      <c r="C53" s="11"/>
      <c r="D53" s="7">
        <v>1850</v>
      </c>
      <c r="E53" s="2"/>
      <c r="F53" s="6">
        <f t="shared" si="38"/>
        <v>0.25560111856575995</v>
      </c>
      <c r="G53" s="2"/>
      <c r="H53" s="7"/>
      <c r="I53" s="2"/>
      <c r="J53" s="6">
        <f t="shared" si="39"/>
        <v>0</v>
      </c>
      <c r="K53" s="2"/>
      <c r="L53" s="7">
        <f t="shared" si="40"/>
        <v>1850</v>
      </c>
      <c r="M53" s="2"/>
      <c r="N53" s="6">
        <f t="shared" si="41"/>
        <v>0</v>
      </c>
      <c r="O53" s="11"/>
      <c r="P53" s="7">
        <v>12950</v>
      </c>
      <c r="Q53" s="2"/>
      <c r="R53" s="6">
        <f t="shared" si="42"/>
        <v>4.7245897970677408E-2</v>
      </c>
      <c r="S53" s="2"/>
      <c r="T53" s="7">
        <v>11100</v>
      </c>
      <c r="U53" s="2"/>
      <c r="V53" s="6">
        <f t="shared" si="43"/>
        <v>0</v>
      </c>
      <c r="W53" s="2"/>
      <c r="X53" s="7">
        <f t="shared" si="44"/>
        <v>1850</v>
      </c>
      <c r="Y53" s="2"/>
      <c r="Z53" s="6">
        <f t="shared" si="45"/>
        <v>0.16666666666666666</v>
      </c>
    </row>
    <row r="54" spans="1:26" s="29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53.25</v>
      </c>
      <c r="E54" s="1"/>
      <c r="F54" s="5">
        <f t="shared" si="38"/>
        <v>7.3571673316901176E-3</v>
      </c>
      <c r="G54" s="1"/>
      <c r="H54" s="1">
        <f>SUM(OSRRefH22_10x_0)</f>
        <v>0</v>
      </c>
      <c r="I54" s="1"/>
      <c r="J54" s="5">
        <f t="shared" si="39"/>
        <v>0</v>
      </c>
      <c r="K54" s="1"/>
      <c r="L54" s="1">
        <f t="shared" si="40"/>
        <v>53.25</v>
      </c>
      <c r="M54" s="1"/>
      <c r="N54" s="5">
        <f t="shared" si="41"/>
        <v>0</v>
      </c>
      <c r="O54" s="14"/>
      <c r="P54" s="1">
        <f>SUM(OSRRefP22_10x_0)</f>
        <v>3729.23</v>
      </c>
      <c r="Q54" s="1"/>
      <c r="R54" s="5">
        <f t="shared" si="42"/>
        <v>1.3605468732755931E-2</v>
      </c>
      <c r="S54" s="1"/>
      <c r="T54" s="1">
        <f>SUM(OSRRefT22_10x_0)</f>
        <v>765.3</v>
      </c>
      <c r="U54" s="1"/>
      <c r="V54" s="5">
        <f t="shared" si="43"/>
        <v>0</v>
      </c>
      <c r="W54" s="1"/>
      <c r="X54" s="1">
        <f t="shared" si="44"/>
        <v>2963.9300000000003</v>
      </c>
      <c r="Y54" s="1"/>
      <c r="Z54" s="5">
        <f t="shared" si="45"/>
        <v>3.8728995165294662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146.75</v>
      </c>
      <c r="Q55" s="2"/>
      <c r="R55" s="6">
        <f t="shared" si="42"/>
        <v>5.3539270480285018E-4</v>
      </c>
      <c r="S55" s="2"/>
      <c r="T55" s="7">
        <v>223.3</v>
      </c>
      <c r="U55" s="2"/>
      <c r="V55" s="6">
        <f t="shared" si="43"/>
        <v>0</v>
      </c>
      <c r="W55" s="2"/>
      <c r="X55" s="7">
        <f t="shared" si="44"/>
        <v>-76.550000000000011</v>
      </c>
      <c r="Y55" s="2"/>
      <c r="Z55" s="6">
        <f t="shared" si="45"/>
        <v>-0.34281236005373938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53.25</v>
      </c>
      <c r="E56" s="2"/>
      <c r="F56" s="6">
        <f t="shared" si="38"/>
        <v>7.3571673316901176E-3</v>
      </c>
      <c r="G56" s="2"/>
      <c r="H56" s="7"/>
      <c r="I56" s="2"/>
      <c r="J56" s="6">
        <f t="shared" si="39"/>
        <v>0</v>
      </c>
      <c r="K56" s="2"/>
      <c r="L56" s="7">
        <f t="shared" si="40"/>
        <v>53.25</v>
      </c>
      <c r="M56" s="2"/>
      <c r="N56" s="6">
        <f t="shared" si="41"/>
        <v>0</v>
      </c>
      <c r="O56" s="11"/>
      <c r="P56" s="7">
        <v>3582.48</v>
      </c>
      <c r="Q56" s="2"/>
      <c r="R56" s="6">
        <f t="shared" si="42"/>
        <v>1.3070076027953081E-2</v>
      </c>
      <c r="S56" s="2"/>
      <c r="T56" s="7">
        <v>542</v>
      </c>
      <c r="U56" s="2"/>
      <c r="V56" s="6">
        <f t="shared" si="43"/>
        <v>0</v>
      </c>
      <c r="W56" s="2"/>
      <c r="X56" s="7">
        <f t="shared" si="44"/>
        <v>3040.48</v>
      </c>
      <c r="Y56" s="2"/>
      <c r="Z56" s="6">
        <f t="shared" si="45"/>
        <v>5.6097416974169745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0</v>
      </c>
      <c r="E57" s="1"/>
      <c r="F57" s="5">
        <f t="shared" ref="F57:F61" si="46">IF(D$12=0,0,D57/D$12)</f>
        <v>0</v>
      </c>
      <c r="G57" s="1"/>
      <c r="H57" s="1">
        <f>SUM(OSRRefH22_11x_0)</f>
        <v>115</v>
      </c>
      <c r="I57" s="1"/>
      <c r="J57" s="5">
        <f t="shared" ref="J57:J61" si="47">IF(H$12=0,0,H57/H$12)</f>
        <v>0</v>
      </c>
      <c r="K57" s="1"/>
      <c r="L57" s="1">
        <f t="shared" ref="L57:L61" si="48">+D57-H57</f>
        <v>-115</v>
      </c>
      <c r="M57" s="1"/>
      <c r="N57" s="5">
        <f t="shared" ref="N57:N61" si="49">IF(H57=0,0,L57/H57)</f>
        <v>-1</v>
      </c>
      <c r="O57" s="14"/>
      <c r="P57" s="1">
        <f>SUM(OSRRefP22_11x_0)</f>
        <v>4851.2999999999993</v>
      </c>
      <c r="Q57" s="1"/>
      <c r="R57" s="5">
        <f t="shared" ref="R57:R61" si="50">IF(P$12=0,0,P57/P$12)</f>
        <v>1.769915249615037E-2</v>
      </c>
      <c r="S57" s="1"/>
      <c r="T57" s="1">
        <f>SUM(OSRRefT22_11x_0)</f>
        <v>460</v>
      </c>
      <c r="U57" s="1"/>
      <c r="V57" s="5">
        <f t="shared" ref="V57:V61" si="51">IF(T$12=0,0,T57/T$12)</f>
        <v>0</v>
      </c>
      <c r="W57" s="1"/>
      <c r="X57" s="1">
        <f t="shared" ref="X57:X61" si="52">+P57-T57</f>
        <v>4391.2999999999993</v>
      </c>
      <c r="Y57" s="1"/>
      <c r="Z57" s="5">
        <f t="shared" ref="Z57:Z61" si="53">IF(T57=0,0,X57/T57)</f>
        <v>9.5463043478260854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6">
        <f t="shared" si="46"/>
        <v>0</v>
      </c>
      <c r="G58" s="2"/>
      <c r="H58" s="7"/>
      <c r="I58" s="2"/>
      <c r="J58" s="6">
        <f t="shared" si="47"/>
        <v>0</v>
      </c>
      <c r="K58" s="2"/>
      <c r="L58" s="7">
        <f t="shared" si="48"/>
        <v>0</v>
      </c>
      <c r="M58" s="2"/>
      <c r="N58" s="6">
        <f t="shared" si="49"/>
        <v>0</v>
      </c>
      <c r="O58" s="11"/>
      <c r="P58" s="7">
        <v>451.86</v>
      </c>
      <c r="Q58" s="2"/>
      <c r="R58" s="6">
        <f t="shared" si="50"/>
        <v>1.648535247647127E-3</v>
      </c>
      <c r="S58" s="2"/>
      <c r="T58" s="7"/>
      <c r="U58" s="2"/>
      <c r="V58" s="6">
        <f t="shared" si="51"/>
        <v>0</v>
      </c>
      <c r="W58" s="2"/>
      <c r="X58" s="7">
        <f t="shared" si="52"/>
        <v>451.86</v>
      </c>
      <c r="Y58" s="2"/>
      <c r="Z58" s="6">
        <f t="shared" si="53"/>
        <v>0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46"/>
        <v>0</v>
      </c>
      <c r="G59" s="2"/>
      <c r="H59" s="7">
        <v>115</v>
      </c>
      <c r="I59" s="2"/>
      <c r="J59" s="6">
        <f t="shared" si="47"/>
        <v>0</v>
      </c>
      <c r="K59" s="2"/>
      <c r="L59" s="7">
        <f t="shared" si="48"/>
        <v>-115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460</v>
      </c>
      <c r="U59" s="2"/>
      <c r="V59" s="6">
        <f t="shared" si="51"/>
        <v>0</v>
      </c>
      <c r="W59" s="2"/>
      <c r="X59" s="7">
        <f t="shared" si="52"/>
        <v>-460</v>
      </c>
      <c r="Y59" s="2"/>
      <c r="Z59" s="6">
        <f t="shared" si="53"/>
        <v>-1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>
        <v>3660</v>
      </c>
      <c r="Q60" s="2"/>
      <c r="R60" s="6">
        <f t="shared" si="50"/>
        <v>1.3352894716037013E-2</v>
      </c>
      <c r="S60" s="2"/>
      <c r="T60" s="7"/>
      <c r="U60" s="2"/>
      <c r="V60" s="6">
        <f t="shared" si="51"/>
        <v>0</v>
      </c>
      <c r="W60" s="2"/>
      <c r="X60" s="7">
        <f t="shared" si="52"/>
        <v>3660</v>
      </c>
      <c r="Y60" s="2"/>
      <c r="Z60" s="6">
        <f t="shared" si="53"/>
        <v>0</v>
      </c>
    </row>
    <row r="61" spans="1:26" s="24" customFormat="1" hidden="1" outlineLevel="2" x14ac:dyDescent="0.3">
      <c r="A61" s="27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>
        <v>739.44</v>
      </c>
      <c r="Q61" s="2"/>
      <c r="R61" s="6">
        <f t="shared" si="50"/>
        <v>2.6977225324662322E-3</v>
      </c>
      <c r="S61" s="2"/>
      <c r="T61" s="7"/>
      <c r="U61" s="2"/>
      <c r="V61" s="6">
        <f t="shared" si="51"/>
        <v>0</v>
      </c>
      <c r="W61" s="2"/>
      <c r="X61" s="7">
        <f t="shared" si="52"/>
        <v>739.44</v>
      </c>
      <c r="Y61" s="2"/>
      <c r="Z61" s="6">
        <f t="shared" si="53"/>
        <v>0</v>
      </c>
    </row>
    <row r="62" spans="1:26" s="29" customFormat="1" outlineLevel="1" collapsed="1" x14ac:dyDescent="0.3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17.95</v>
      </c>
      <c r="E62" s="1"/>
      <c r="F62" s="5">
        <f t="shared" ref="F62:F72" si="54">IF(D$12=0,0,D62/D$12)</f>
        <v>2.4800216639218331E-3</v>
      </c>
      <c r="G62" s="1"/>
      <c r="H62" s="1">
        <f>SUM(OSRRefH22_12x_0)</f>
        <v>0</v>
      </c>
      <c r="I62" s="1"/>
      <c r="J62" s="5">
        <f t="shared" ref="J62:J72" si="55">IF(H$12=0,0,H62/H$12)</f>
        <v>0</v>
      </c>
      <c r="K62" s="1"/>
      <c r="L62" s="1">
        <f t="shared" ref="L62:L72" si="56">+D62-H62</f>
        <v>17.95</v>
      </c>
      <c r="M62" s="1"/>
      <c r="N62" s="5">
        <f t="shared" ref="N62:N72" si="57">IF(H62=0,0,L62/H62)</f>
        <v>0</v>
      </c>
      <c r="O62" s="14"/>
      <c r="P62" s="1">
        <f>SUM(OSRRefP22_12x_0)</f>
        <v>253.84</v>
      </c>
      <c r="Q62" s="1"/>
      <c r="R62" s="5">
        <f t="shared" ref="R62:R72" si="58">IF(P$12=0,0,P62/P$12)</f>
        <v>9.2609256686306983E-4</v>
      </c>
      <c r="S62" s="1"/>
      <c r="T62" s="1">
        <f>SUM(OSRRefT22_12x_0)</f>
        <v>0</v>
      </c>
      <c r="U62" s="1"/>
      <c r="V62" s="5">
        <f t="shared" ref="V62:V72" si="59">IF(T$12=0,0,T62/T$12)</f>
        <v>0</v>
      </c>
      <c r="W62" s="1"/>
      <c r="X62" s="1">
        <f t="shared" ref="X62:X72" si="60">+P62-T62</f>
        <v>253.84</v>
      </c>
      <c r="Y62" s="1"/>
      <c r="Z62" s="5">
        <f t="shared" ref="Z62:Z72" si="61">IF(T62=0,0,X62/T62)</f>
        <v>0</v>
      </c>
    </row>
    <row r="63" spans="1:26" s="24" customFormat="1" hidden="1" outlineLevel="2" x14ac:dyDescent="0.3">
      <c r="A63" s="27"/>
      <c r="B63" s="11" t="str">
        <f>CONCATENATE("          ", "6275", " - ", "SUBSCRIPTIONS")</f>
        <v xml:space="preserve">          6275 - SUBSCRIPTIONS</v>
      </c>
      <c r="C63" s="11"/>
      <c r="D63" s="7">
        <v>17.95</v>
      </c>
      <c r="E63" s="2"/>
      <c r="F63" s="6">
        <f t="shared" si="54"/>
        <v>2.4800216639218331E-3</v>
      </c>
      <c r="G63" s="2"/>
      <c r="H63" s="7"/>
      <c r="I63" s="2"/>
      <c r="J63" s="6">
        <f t="shared" si="55"/>
        <v>0</v>
      </c>
      <c r="K63" s="2"/>
      <c r="L63" s="7">
        <f t="shared" si="56"/>
        <v>17.95</v>
      </c>
      <c r="M63" s="2"/>
      <c r="N63" s="6">
        <f t="shared" si="57"/>
        <v>0</v>
      </c>
      <c r="O63" s="11"/>
      <c r="P63" s="7">
        <v>253.84</v>
      </c>
      <c r="Q63" s="2"/>
      <c r="R63" s="6">
        <f t="shared" si="58"/>
        <v>9.2609256686306983E-4</v>
      </c>
      <c r="S63" s="2"/>
      <c r="T63" s="7"/>
      <c r="U63" s="2"/>
      <c r="V63" s="6">
        <f t="shared" si="59"/>
        <v>0</v>
      </c>
      <c r="W63" s="2"/>
      <c r="X63" s="7">
        <f t="shared" si="60"/>
        <v>253.84</v>
      </c>
      <c r="Y63" s="2"/>
      <c r="Z63" s="6">
        <f t="shared" si="61"/>
        <v>0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1183.74</v>
      </c>
      <c r="E64" s="1"/>
      <c r="F64" s="5">
        <f t="shared" si="54"/>
        <v>0.16354879356272037</v>
      </c>
      <c r="G64" s="1"/>
      <c r="H64" s="1">
        <f>SUM(OSRRefH22_13x_0)</f>
        <v>0</v>
      </c>
      <c r="I64" s="1"/>
      <c r="J64" s="5">
        <f t="shared" si="55"/>
        <v>0</v>
      </c>
      <c r="K64" s="1"/>
      <c r="L64" s="1">
        <f t="shared" si="56"/>
        <v>1183.74</v>
      </c>
      <c r="M64" s="1"/>
      <c r="N64" s="5">
        <f t="shared" si="57"/>
        <v>0</v>
      </c>
      <c r="O64" s="14"/>
      <c r="P64" s="1">
        <f>SUM(OSRRefP22_13x_0)</f>
        <v>6548.61</v>
      </c>
      <c r="Q64" s="1"/>
      <c r="R64" s="5">
        <f t="shared" si="58"/>
        <v>2.3891502695734191E-2</v>
      </c>
      <c r="S64" s="1"/>
      <c r="T64" s="1">
        <f>SUM(OSRRefT22_13x_0)</f>
        <v>72</v>
      </c>
      <c r="U64" s="1"/>
      <c r="V64" s="5">
        <f t="shared" si="59"/>
        <v>0</v>
      </c>
      <c r="W64" s="1"/>
      <c r="X64" s="1">
        <f t="shared" si="60"/>
        <v>6476.61</v>
      </c>
      <c r="Y64" s="1"/>
      <c r="Z64" s="5">
        <f t="shared" si="61"/>
        <v>89.952916666666667</v>
      </c>
    </row>
    <row r="65" spans="1:26" s="24" customFormat="1" hidden="1" outlineLevel="2" x14ac:dyDescent="0.3">
      <c r="A65" s="27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4"/>
        <v>0</v>
      </c>
      <c r="G65" s="2"/>
      <c r="H65" s="7"/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>
        <v>193.5</v>
      </c>
      <c r="Q65" s="2"/>
      <c r="R65" s="6">
        <f t="shared" si="58"/>
        <v>7.0595222064294048E-4</v>
      </c>
      <c r="S65" s="2"/>
      <c r="T65" s="7"/>
      <c r="U65" s="2"/>
      <c r="V65" s="6">
        <f t="shared" si="59"/>
        <v>0</v>
      </c>
      <c r="W65" s="2"/>
      <c r="X65" s="7">
        <f t="shared" si="60"/>
        <v>193.5</v>
      </c>
      <c r="Y65" s="2"/>
      <c r="Z65" s="6">
        <f t="shared" si="61"/>
        <v>0</v>
      </c>
    </row>
    <row r="66" spans="1:26" s="24" customFormat="1" hidden="1" outlineLevel="2" x14ac:dyDescent="0.3">
      <c r="A66" s="27"/>
      <c r="B66" s="11" t="str">
        <f>CONCATENATE("          ", "6237", " - ", "JANITORIAL SUPPLIES")</f>
        <v xml:space="preserve">          6237 - JANITORIAL SUPPLIES</v>
      </c>
      <c r="C66" s="11"/>
      <c r="D66" s="7"/>
      <c r="E66" s="2"/>
      <c r="F66" s="6">
        <f t="shared" si="54"/>
        <v>0</v>
      </c>
      <c r="G66" s="2"/>
      <c r="H66" s="7"/>
      <c r="I66" s="2"/>
      <c r="J66" s="6">
        <f t="shared" si="55"/>
        <v>0</v>
      </c>
      <c r="K66" s="2"/>
      <c r="L66" s="7">
        <f t="shared" si="56"/>
        <v>0</v>
      </c>
      <c r="M66" s="2"/>
      <c r="N66" s="6">
        <f t="shared" si="57"/>
        <v>0</v>
      </c>
      <c r="O66" s="11"/>
      <c r="P66" s="7">
        <v>48.12</v>
      </c>
      <c r="Q66" s="2"/>
      <c r="R66" s="6">
        <f t="shared" si="58"/>
        <v>1.7555773052888005E-4</v>
      </c>
      <c r="S66" s="2"/>
      <c r="T66" s="7">
        <v>72</v>
      </c>
      <c r="U66" s="2"/>
      <c r="V66" s="6">
        <f t="shared" si="59"/>
        <v>0</v>
      </c>
      <c r="W66" s="2"/>
      <c r="X66" s="7">
        <f t="shared" si="60"/>
        <v>-23.880000000000003</v>
      </c>
      <c r="Y66" s="2"/>
      <c r="Z66" s="6">
        <f t="shared" si="61"/>
        <v>-0.33166666666666672</v>
      </c>
    </row>
    <row r="67" spans="1:26" s="24" customFormat="1" hidden="1" outlineLevel="2" x14ac:dyDescent="0.3">
      <c r="A67" s="27"/>
      <c r="B67" s="11" t="str">
        <f>CONCATENATE("          ", "6239", " - ", "KITCHEN SUPPLIES")</f>
        <v xml:space="preserve">          6239 - KITCHEN SUPPLIES</v>
      </c>
      <c r="C67" s="11"/>
      <c r="D67" s="7">
        <v>616.36</v>
      </c>
      <c r="E67" s="2"/>
      <c r="F67" s="6">
        <f t="shared" si="54"/>
        <v>8.5158002940103672E-2</v>
      </c>
      <c r="G67" s="2"/>
      <c r="H67" s="7"/>
      <c r="I67" s="2"/>
      <c r="J67" s="6">
        <f t="shared" si="55"/>
        <v>0</v>
      </c>
      <c r="K67" s="2"/>
      <c r="L67" s="7">
        <f t="shared" si="56"/>
        <v>616.36</v>
      </c>
      <c r="M67" s="2"/>
      <c r="N67" s="6">
        <f t="shared" si="57"/>
        <v>0</v>
      </c>
      <c r="O67" s="11"/>
      <c r="P67" s="7">
        <v>1945.64</v>
      </c>
      <c r="Q67" s="2"/>
      <c r="R67" s="6">
        <f t="shared" si="58"/>
        <v>7.0983404577350424E-3</v>
      </c>
      <c r="S67" s="2"/>
      <c r="T67" s="7"/>
      <c r="U67" s="2"/>
      <c r="V67" s="6">
        <f t="shared" si="59"/>
        <v>0</v>
      </c>
      <c r="W67" s="2"/>
      <c r="X67" s="7">
        <f t="shared" si="60"/>
        <v>1945.64</v>
      </c>
      <c r="Y67" s="2"/>
      <c r="Z67" s="6">
        <f t="shared" si="61"/>
        <v>0</v>
      </c>
    </row>
    <row r="68" spans="1:26" s="24" customFormat="1" hidden="1" outlineLevel="2" x14ac:dyDescent="0.3">
      <c r="A68" s="27"/>
      <c r="B68" s="11" t="str">
        <f>CONCATENATE("          ", "6241", " - ", "OFFICE EXPENSE")</f>
        <v xml:space="preserve">          6241 - OFFICE EXPENSE</v>
      </c>
      <c r="C68" s="11"/>
      <c r="D68" s="7">
        <v>23.08</v>
      </c>
      <c r="E68" s="2"/>
      <c r="F68" s="6">
        <f t="shared" si="54"/>
        <v>3.1887966575663454E-3</v>
      </c>
      <c r="G68" s="2"/>
      <c r="H68" s="7"/>
      <c r="I68" s="2"/>
      <c r="J68" s="6">
        <f t="shared" si="55"/>
        <v>0</v>
      </c>
      <c r="K68" s="2"/>
      <c r="L68" s="7">
        <f t="shared" si="56"/>
        <v>23.08</v>
      </c>
      <c r="M68" s="2"/>
      <c r="N68" s="6">
        <f t="shared" si="57"/>
        <v>0</v>
      </c>
      <c r="O68" s="11"/>
      <c r="P68" s="7">
        <v>1818.91</v>
      </c>
      <c r="Q68" s="2"/>
      <c r="R68" s="6">
        <f t="shared" si="58"/>
        <v>6.6359873573625366E-3</v>
      </c>
      <c r="S68" s="2"/>
      <c r="T68" s="7"/>
      <c r="U68" s="2"/>
      <c r="V68" s="6">
        <f t="shared" si="59"/>
        <v>0</v>
      </c>
      <c r="W68" s="2"/>
      <c r="X68" s="7">
        <f t="shared" si="60"/>
        <v>1818.91</v>
      </c>
      <c r="Y68" s="2"/>
      <c r="Z68" s="6">
        <f t="shared" si="61"/>
        <v>0</v>
      </c>
    </row>
    <row r="69" spans="1:26" s="24" customFormat="1" hidden="1" outlineLevel="2" x14ac:dyDescent="0.3">
      <c r="A69" s="27"/>
      <c r="B69" s="11" t="str">
        <f>CONCATENATE("          ", "6243", " - ", "PAPER SUPPLIES")</f>
        <v xml:space="preserve">          6243 - PAPER SUPPLIES</v>
      </c>
      <c r="C69" s="11"/>
      <c r="D69" s="7"/>
      <c r="E69" s="2"/>
      <c r="F69" s="6">
        <f t="shared" si="54"/>
        <v>0</v>
      </c>
      <c r="G69" s="2"/>
      <c r="H69" s="7"/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>
        <v>511.58</v>
      </c>
      <c r="Q69" s="2"/>
      <c r="R69" s="6">
        <f t="shared" si="58"/>
        <v>1.8664136280956871E-3</v>
      </c>
      <c r="S69" s="2"/>
      <c r="T69" s="7"/>
      <c r="U69" s="2"/>
      <c r="V69" s="6">
        <f t="shared" si="59"/>
        <v>0</v>
      </c>
      <c r="W69" s="2"/>
      <c r="X69" s="7">
        <f t="shared" si="60"/>
        <v>511.58</v>
      </c>
      <c r="Y69" s="2"/>
      <c r="Z69" s="6">
        <f t="shared" si="61"/>
        <v>0</v>
      </c>
    </row>
    <row r="70" spans="1:26" s="24" customFormat="1" hidden="1" outlineLevel="2" x14ac:dyDescent="0.3">
      <c r="A70" s="27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>
        <v>733</v>
      </c>
      <c r="Q70" s="2"/>
      <c r="R70" s="6">
        <f t="shared" si="58"/>
        <v>2.6742272750970302E-3</v>
      </c>
      <c r="S70" s="2"/>
      <c r="T70" s="7"/>
      <c r="U70" s="2"/>
      <c r="V70" s="6">
        <f t="shared" si="59"/>
        <v>0</v>
      </c>
      <c r="W70" s="2"/>
      <c r="X70" s="7">
        <f t="shared" si="60"/>
        <v>733</v>
      </c>
      <c r="Y70" s="2"/>
      <c r="Z70" s="6">
        <f t="shared" si="61"/>
        <v>0</v>
      </c>
    </row>
    <row r="71" spans="1:26" s="24" customFormat="1" hidden="1" outlineLevel="2" x14ac:dyDescent="0.3">
      <c r="A71" s="27"/>
      <c r="B71" s="11" t="str">
        <f>CONCATENATE("          ", "6247", " - ", "STORE SUPPLIES")</f>
        <v xml:space="preserve">          6247 - STORE SUPPLIES</v>
      </c>
      <c r="C71" s="11"/>
      <c r="D71" s="7">
        <v>195</v>
      </c>
      <c r="E71" s="2"/>
      <c r="F71" s="6">
        <f t="shared" si="54"/>
        <v>2.694173952449902E-2</v>
      </c>
      <c r="G71" s="2"/>
      <c r="H71" s="7"/>
      <c r="I71" s="2"/>
      <c r="J71" s="6">
        <f t="shared" si="55"/>
        <v>0</v>
      </c>
      <c r="K71" s="2"/>
      <c r="L71" s="7">
        <f t="shared" si="56"/>
        <v>195</v>
      </c>
      <c r="M71" s="2"/>
      <c r="N71" s="6">
        <f t="shared" si="57"/>
        <v>0</v>
      </c>
      <c r="O71" s="11"/>
      <c r="P71" s="7">
        <v>695.61</v>
      </c>
      <c r="Q71" s="2"/>
      <c r="R71" s="6">
        <f t="shared" si="58"/>
        <v>2.5378161457438541E-3</v>
      </c>
      <c r="S71" s="2"/>
      <c r="T71" s="7"/>
      <c r="U71" s="2"/>
      <c r="V71" s="6">
        <f t="shared" si="59"/>
        <v>0</v>
      </c>
      <c r="W71" s="2"/>
      <c r="X71" s="7">
        <f t="shared" si="60"/>
        <v>695.61</v>
      </c>
      <c r="Y71" s="2"/>
      <c r="Z71" s="6">
        <f t="shared" si="61"/>
        <v>0</v>
      </c>
    </row>
    <row r="72" spans="1:26" s="24" customFormat="1" hidden="1" outlineLevel="2" x14ac:dyDescent="0.3">
      <c r="A72" s="27"/>
      <c r="B72" s="11" t="str">
        <f>CONCATENATE("          ", "6248", " - ", "UNIFORMS")</f>
        <v xml:space="preserve">          6248 - UNIFORMS</v>
      </c>
      <c r="C72" s="11"/>
      <c r="D72" s="7">
        <v>349.3</v>
      </c>
      <c r="E72" s="2"/>
      <c r="F72" s="6">
        <f t="shared" si="54"/>
        <v>4.8260254440551327E-2</v>
      </c>
      <c r="G72" s="2"/>
      <c r="H72" s="7"/>
      <c r="I72" s="2"/>
      <c r="J72" s="6">
        <f t="shared" si="55"/>
        <v>0</v>
      </c>
      <c r="K72" s="2"/>
      <c r="L72" s="7">
        <f t="shared" si="56"/>
        <v>349.3</v>
      </c>
      <c r="M72" s="2"/>
      <c r="N72" s="6">
        <f t="shared" si="57"/>
        <v>0</v>
      </c>
      <c r="O72" s="11"/>
      <c r="P72" s="7">
        <v>602.25</v>
      </c>
      <c r="Q72" s="2"/>
      <c r="R72" s="6">
        <f t="shared" si="58"/>
        <v>2.1972078805282216E-3</v>
      </c>
      <c r="S72" s="2"/>
      <c r="T72" s="7"/>
      <c r="U72" s="2"/>
      <c r="V72" s="6">
        <f t="shared" si="59"/>
        <v>0</v>
      </c>
      <c r="W72" s="2"/>
      <c r="X72" s="7">
        <f t="shared" si="60"/>
        <v>602.25</v>
      </c>
      <c r="Y72" s="2"/>
      <c r="Z72" s="6">
        <f t="shared" si="61"/>
        <v>0</v>
      </c>
    </row>
    <row r="73" spans="1:26" s="29" customFormat="1" outlineLevel="1" collapsed="1" x14ac:dyDescent="0.3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75</v>
      </c>
      <c r="E73" s="1"/>
      <c r="F73" s="5">
        <f t="shared" ref="F73:F76" si="62">IF(D$12=0,0,D73/D$12)</f>
        <v>1.03622075094227E-2</v>
      </c>
      <c r="G73" s="1"/>
      <c r="H73" s="1">
        <f>SUM(OSRRefH22_14x_0)</f>
        <v>0</v>
      </c>
      <c r="I73" s="1"/>
      <c r="J73" s="5">
        <f t="shared" ref="J73:J76" si="63">IF(H$12=0,0,H73/H$12)</f>
        <v>0</v>
      </c>
      <c r="K73" s="1"/>
      <c r="L73" s="1">
        <f t="shared" ref="L73:L76" si="64">+D73-H73</f>
        <v>75</v>
      </c>
      <c r="M73" s="1"/>
      <c r="N73" s="5">
        <f t="shared" ref="N73:N76" si="65">IF(H73=0,0,L73/H73)</f>
        <v>0</v>
      </c>
      <c r="O73" s="14"/>
      <c r="P73" s="1">
        <f>SUM(OSRRefP22_14x_0)</f>
        <v>675</v>
      </c>
      <c r="Q73" s="1"/>
      <c r="R73" s="5">
        <f t="shared" ref="R73:R76" si="66">IF(P$12=0,0,P73/P$12)</f>
        <v>2.4626240254986293E-3</v>
      </c>
      <c r="S73" s="1"/>
      <c r="T73" s="1">
        <f>SUM(OSRRefT22_14x_0)</f>
        <v>77.430000000000007</v>
      </c>
      <c r="U73" s="1"/>
      <c r="V73" s="5">
        <f t="shared" ref="V73:V76" si="67">IF(T$12=0,0,T73/T$12)</f>
        <v>0</v>
      </c>
      <c r="W73" s="1"/>
      <c r="X73" s="1">
        <f t="shared" ref="X73:X76" si="68">+P73-T73</f>
        <v>597.56999999999994</v>
      </c>
      <c r="Y73" s="1"/>
      <c r="Z73" s="5">
        <f t="shared" ref="Z73:Z76" si="69">IF(T73=0,0,X73/T73)</f>
        <v>7.7175513366912032</v>
      </c>
    </row>
    <row r="74" spans="1:26" s="24" customFormat="1" hidden="1" outlineLevel="2" x14ac:dyDescent="0.3">
      <c r="A74" s="27"/>
      <c r="B74" s="11" t="str">
        <f>CONCATENATE("          ", "6309", " - ", "TELEPHONE")</f>
        <v xml:space="preserve">          6309 - TELEPHONE</v>
      </c>
      <c r="C74" s="11"/>
      <c r="D74" s="7">
        <v>75</v>
      </c>
      <c r="E74" s="2"/>
      <c r="F74" s="6">
        <f t="shared" si="62"/>
        <v>1.03622075094227E-2</v>
      </c>
      <c r="G74" s="2"/>
      <c r="H74" s="7"/>
      <c r="I74" s="2"/>
      <c r="J74" s="6">
        <f t="shared" si="63"/>
        <v>0</v>
      </c>
      <c r="K74" s="2"/>
      <c r="L74" s="7">
        <f t="shared" si="64"/>
        <v>75</v>
      </c>
      <c r="M74" s="2"/>
      <c r="N74" s="6">
        <f t="shared" si="65"/>
        <v>0</v>
      </c>
      <c r="O74" s="11"/>
      <c r="P74" s="7">
        <v>675</v>
      </c>
      <c r="Q74" s="2"/>
      <c r="R74" s="6">
        <f t="shared" si="66"/>
        <v>2.4626240254986293E-3</v>
      </c>
      <c r="S74" s="2"/>
      <c r="T74" s="7">
        <v>77.430000000000007</v>
      </c>
      <c r="U74" s="2"/>
      <c r="V74" s="6">
        <f t="shared" si="67"/>
        <v>0</v>
      </c>
      <c r="W74" s="2"/>
      <c r="X74" s="7">
        <f t="shared" si="68"/>
        <v>597.56999999999994</v>
      </c>
      <c r="Y74" s="2"/>
      <c r="Z74" s="6">
        <f t="shared" si="69"/>
        <v>7.7175513366912032</v>
      </c>
    </row>
    <row r="75" spans="1:26" s="29" customFormat="1" outlineLevel="1" collapsed="1" x14ac:dyDescent="0.3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SUM(OSRRefD22_15x_0)</f>
        <v>200</v>
      </c>
      <c r="E75" s="1"/>
      <c r="F75" s="5">
        <f t="shared" si="62"/>
        <v>2.7632553358460536E-2</v>
      </c>
      <c r="G75" s="1"/>
      <c r="H75" s="1">
        <f>SUM(OSRRefH22_15x_0)</f>
        <v>348</v>
      </c>
      <c r="I75" s="1"/>
      <c r="J75" s="5">
        <f t="shared" si="63"/>
        <v>0</v>
      </c>
      <c r="K75" s="1"/>
      <c r="L75" s="1">
        <f t="shared" si="64"/>
        <v>-148</v>
      </c>
      <c r="M75" s="1"/>
      <c r="N75" s="5">
        <f t="shared" si="65"/>
        <v>-0.42528735632183906</v>
      </c>
      <c r="O75" s="14"/>
      <c r="P75" s="1">
        <f>SUM(OSRRefP22_15x_0)</f>
        <v>1400</v>
      </c>
      <c r="Q75" s="1"/>
      <c r="R75" s="5">
        <f t="shared" si="66"/>
        <v>5.1076646454786389E-3</v>
      </c>
      <c r="S75" s="1"/>
      <c r="T75" s="1">
        <f>SUM(OSRRefT22_15x_0)</f>
        <v>1392</v>
      </c>
      <c r="U75" s="1"/>
      <c r="V75" s="5">
        <f t="shared" si="67"/>
        <v>0</v>
      </c>
      <c r="W75" s="1"/>
      <c r="X75" s="1">
        <f t="shared" si="68"/>
        <v>8</v>
      </c>
      <c r="Y75" s="1"/>
      <c r="Z75" s="5">
        <f t="shared" si="69"/>
        <v>5.7471264367816091E-3</v>
      </c>
    </row>
    <row r="76" spans="1:26" s="24" customFormat="1" hidden="1" outlineLevel="2" x14ac:dyDescent="0.3">
      <c r="A76" s="27"/>
      <c r="B76" s="11" t="str">
        <f>CONCATENATE("          ", "6274", " - ", "UTILITIES")</f>
        <v xml:space="preserve">          6274 - UTILITIES</v>
      </c>
      <c r="C76" s="11"/>
      <c r="D76" s="7">
        <v>200</v>
      </c>
      <c r="E76" s="2"/>
      <c r="F76" s="6">
        <f t="shared" si="62"/>
        <v>2.7632553358460536E-2</v>
      </c>
      <c r="G76" s="2"/>
      <c r="H76" s="7">
        <v>348</v>
      </c>
      <c r="I76" s="2"/>
      <c r="J76" s="6">
        <f t="shared" si="63"/>
        <v>0</v>
      </c>
      <c r="K76" s="2"/>
      <c r="L76" s="7">
        <f t="shared" si="64"/>
        <v>-148</v>
      </c>
      <c r="M76" s="2"/>
      <c r="N76" s="6">
        <f t="shared" si="65"/>
        <v>-0.42528735632183906</v>
      </c>
      <c r="O76" s="11"/>
      <c r="P76" s="7">
        <v>1400</v>
      </c>
      <c r="Q76" s="2"/>
      <c r="R76" s="6">
        <f t="shared" si="66"/>
        <v>5.1076646454786389E-3</v>
      </c>
      <c r="S76" s="2"/>
      <c r="T76" s="7">
        <v>1392</v>
      </c>
      <c r="U76" s="2"/>
      <c r="V76" s="6">
        <f t="shared" si="67"/>
        <v>0</v>
      </c>
      <c r="W76" s="2"/>
      <c r="X76" s="7">
        <f t="shared" si="68"/>
        <v>8</v>
      </c>
      <c r="Y76" s="2"/>
      <c r="Z76" s="6">
        <f t="shared" si="69"/>
        <v>5.7471264367816091E-3</v>
      </c>
    </row>
    <row r="77" spans="1:26" s="52" customFormat="1" x14ac:dyDescent="0.3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">
      <c r="A78" s="10"/>
      <c r="B78" s="26" t="s">
        <v>292</v>
      </c>
      <c r="C78" s="10"/>
      <c r="D78" s="4">
        <f>SUM(OSRRefD25x_0)</f>
        <v>0</v>
      </c>
      <c r="E78" s="4"/>
      <c r="F78" s="12">
        <f t="shared" ref="F78:F79" si="70">IF(D$12=0,0,D78/D$12)</f>
        <v>0</v>
      </c>
      <c r="G78" s="4"/>
      <c r="H78" s="4">
        <f>SUM(OSRRefH25x_0)</f>
        <v>0</v>
      </c>
      <c r="I78" s="4"/>
      <c r="J78" s="12">
        <f t="shared" ref="J78:J79" si="71">IF(H$12=0,0,H78/H$12)</f>
        <v>0</v>
      </c>
      <c r="K78" s="4"/>
      <c r="L78" s="4">
        <f t="shared" ref="L78:L79" si="72">+D78-H78</f>
        <v>0</v>
      </c>
      <c r="M78" s="4"/>
      <c r="N78" s="12">
        <f t="shared" ref="N78:N79" si="73">IF(H78=0,0,L78/H78)</f>
        <v>0</v>
      </c>
      <c r="O78" s="10"/>
      <c r="P78" s="4">
        <f>SUM(OSRRefP25x_0)</f>
        <v>192</v>
      </c>
      <c r="Q78" s="4"/>
      <c r="R78" s="12">
        <f t="shared" ref="R78:R79" si="74">IF(P$12=0,0,P78/P$12)</f>
        <v>7.0047972280849898E-4</v>
      </c>
      <c r="S78" s="4"/>
      <c r="T78" s="4">
        <f>SUM(OSRRefT25x_0)</f>
        <v>0</v>
      </c>
      <c r="U78" s="4"/>
      <c r="V78" s="12">
        <f t="shared" ref="V78:V79" si="75">IF(T$12=0,0,T78/T$12)</f>
        <v>0</v>
      </c>
      <c r="W78" s="4"/>
      <c r="X78" s="4">
        <f t="shared" ref="X78:X79" si="76">+P78-T78</f>
        <v>192</v>
      </c>
      <c r="Y78" s="4"/>
      <c r="Z78" s="12">
        <f t="shared" ref="Z78:Z79" si="77">IF(T78=0,0,X78/T78)</f>
        <v>0</v>
      </c>
    </row>
    <row r="79" spans="1:26" s="24" customFormat="1" hidden="1" outlineLevel="1" x14ac:dyDescent="0.3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70"/>
        <v>0</v>
      </c>
      <c r="G79" s="2"/>
      <c r="H79" s="2">
        <f>0</f>
        <v>0</v>
      </c>
      <c r="I79" s="2"/>
      <c r="J79" s="19">
        <f t="shared" si="71"/>
        <v>0</v>
      </c>
      <c r="K79" s="2"/>
      <c r="L79" s="2">
        <f t="shared" si="72"/>
        <v>0</v>
      </c>
      <c r="M79" s="2"/>
      <c r="N79" s="19">
        <f t="shared" si="73"/>
        <v>0</v>
      </c>
      <c r="O79" s="11"/>
      <c r="P79" s="2">
        <f>--192</f>
        <v>192</v>
      </c>
      <c r="Q79" s="2"/>
      <c r="R79" s="19">
        <f t="shared" si="74"/>
        <v>7.0047972280849898E-4</v>
      </c>
      <c r="S79" s="2"/>
      <c r="T79" s="2">
        <f>0</f>
        <v>0</v>
      </c>
      <c r="U79" s="2"/>
      <c r="V79" s="19">
        <f t="shared" si="75"/>
        <v>0</v>
      </c>
      <c r="W79" s="2"/>
      <c r="X79" s="2">
        <f t="shared" si="76"/>
        <v>192</v>
      </c>
      <c r="Y79" s="2"/>
      <c r="Z79" s="19">
        <f t="shared" si="77"/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+D20-D22+D78</f>
        <v>-25233.22</v>
      </c>
      <c r="E81" s="13"/>
      <c r="F81" s="22">
        <f>IF(D$12=0,0,D81/D$12)</f>
        <v>-3.4862914902788678</v>
      </c>
      <c r="G81" s="13"/>
      <c r="H81" s="21">
        <f>+H20-H22+H78</f>
        <v>-5696.01</v>
      </c>
      <c r="I81" s="13"/>
      <c r="J81" s="22">
        <f>IF(H$12=0,0,H81/H$12)</f>
        <v>0</v>
      </c>
      <c r="K81" s="15"/>
      <c r="L81" s="21">
        <f>+D81-H81</f>
        <v>-19537.21</v>
      </c>
      <c r="M81" s="15"/>
      <c r="N81" s="22">
        <f>IF(H81=0,0,L81/H81)</f>
        <v>3.4299816889366412</v>
      </c>
      <c r="O81" s="26"/>
      <c r="P81" s="21">
        <f>+P20-P22+P78</f>
        <v>-65688.239999999991</v>
      </c>
      <c r="Q81" s="13"/>
      <c r="R81" s="22">
        <f>IF(P$12=0,0,P81/P$12)</f>
        <v>-0.2396525007655112</v>
      </c>
      <c r="S81" s="13"/>
      <c r="T81" s="21">
        <f>+T20-T22+T78</f>
        <v>-50886.05000000001</v>
      </c>
      <c r="U81" s="13"/>
      <c r="V81" s="22">
        <f>IF(T$12=0,0,T81/T$12)</f>
        <v>0</v>
      </c>
      <c r="W81" s="15"/>
      <c r="X81" s="21">
        <f>+P81-T81</f>
        <v>-14802.189999999981</v>
      </c>
      <c r="Y81" s="15"/>
      <c r="Z81" s="22">
        <f>IF(T81=0,0,X81/T81)</f>
        <v>0.29088895679660687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4159.46</v>
      </c>
      <c r="E83" s="4"/>
      <c r="F83" s="12">
        <f>IF(D$12=0,0,D83/D$12)</f>
        <v>0.57468250196191129</v>
      </c>
      <c r="G83" s="4"/>
      <c r="H83" s="4"/>
      <c r="I83" s="4"/>
      <c r="J83" s="12">
        <f>IF(H$12=0,0,H83/H$12)</f>
        <v>0</v>
      </c>
      <c r="K83" s="4"/>
      <c r="L83" s="4">
        <f>+D83-H83</f>
        <v>4159.46</v>
      </c>
      <c r="M83" s="4"/>
      <c r="N83" s="12">
        <f>IF(H83=0,0,L83/H83)</f>
        <v>0</v>
      </c>
      <c r="O83" s="10"/>
      <c r="P83" s="4">
        <v>36281.620000000003</v>
      </c>
      <c r="Q83" s="4"/>
      <c r="R83" s="12">
        <f>IF(P$12=0,0,P83/P$12)</f>
        <v>0.13236739125335051</v>
      </c>
      <c r="S83" s="4"/>
      <c r="T83" s="4"/>
      <c r="U83" s="4"/>
      <c r="V83" s="12">
        <f>IF(T$12=0,0,T83/T$12)</f>
        <v>0</v>
      </c>
      <c r="W83" s="4"/>
      <c r="X83" s="4">
        <f>+P83-T83</f>
        <v>36281.620000000003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6">
        <f>+D81-D83</f>
        <v>-29392.68</v>
      </c>
      <c r="E85" s="13"/>
      <c r="F85" s="31">
        <f>IF(D$12=0,0,D85/D$12)</f>
        <v>-4.060973992240779</v>
      </c>
      <c r="G85" s="13"/>
      <c r="H85" s="36">
        <f>+H81-H83</f>
        <v>-5696.01</v>
      </c>
      <c r="I85" s="13"/>
      <c r="J85" s="31">
        <f>IF(H$12=0,0,H85/H$12)</f>
        <v>0</v>
      </c>
      <c r="K85" s="15"/>
      <c r="L85" s="36">
        <f>D85-H85</f>
        <v>-23696.67</v>
      </c>
      <c r="M85" s="15"/>
      <c r="N85" s="31">
        <f>IF(H85=0,0,L85/H85)</f>
        <v>4.1602226821933241</v>
      </c>
      <c r="O85" s="26"/>
      <c r="P85" s="36">
        <f>+P81-P83</f>
        <v>-101969.85999999999</v>
      </c>
      <c r="Q85" s="13"/>
      <c r="R85" s="31">
        <f>IF(P$12=0,0,P85/P$12)</f>
        <v>-0.37201989201886171</v>
      </c>
      <c r="S85" s="13"/>
      <c r="T85" s="36">
        <f>+T81-T83</f>
        <v>-50886.05000000001</v>
      </c>
      <c r="U85" s="13"/>
      <c r="V85" s="31">
        <f>IF(T$12=0,0,T85/T$12)</f>
        <v>0</v>
      </c>
      <c r="W85" s="15"/>
      <c r="X85" s="36">
        <f>P85-T85</f>
        <v>-51083.809999999976</v>
      </c>
      <c r="Y85" s="15"/>
      <c r="Z85" s="31">
        <f>IF(T85=0,0,X85/T85)</f>
        <v>1.0038863303400434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5">
        <f>SUM(D85:D87)</f>
        <v>-29392.68</v>
      </c>
      <c r="E88" s="13"/>
      <c r="F88" s="32">
        <f>IF(D$12=0,0,D88/D$12)</f>
        <v>-4.060973992240779</v>
      </c>
      <c r="G88" s="13"/>
      <c r="H88" s="35">
        <f>SUM(H85:H87)</f>
        <v>-5696.01</v>
      </c>
      <c r="I88" s="13"/>
      <c r="J88" s="32">
        <f>IF(H$12=0,0,H88/H$12)</f>
        <v>0</v>
      </c>
      <c r="K88" s="15"/>
      <c r="L88" s="35">
        <f>+D88-H88</f>
        <v>-23696.67</v>
      </c>
      <c r="M88" s="15"/>
      <c r="N88" s="32">
        <f>IF(H88=0,0,L88/H88)</f>
        <v>4.1602226821933241</v>
      </c>
      <c r="O88" s="26"/>
      <c r="P88" s="35">
        <f>SUM(P85:P87)</f>
        <v>-101969.85999999999</v>
      </c>
      <c r="Q88" s="13"/>
      <c r="R88" s="32">
        <f>IF(P$12=0,0,P88/P$12)</f>
        <v>-0.37201989201886171</v>
      </c>
      <c r="S88" s="13"/>
      <c r="T88" s="35">
        <f>SUM(T85:T87)</f>
        <v>-50886.05000000001</v>
      </c>
      <c r="U88" s="13"/>
      <c r="V88" s="32">
        <f>IF(T$12=0,0,T88/T$12)</f>
        <v>0</v>
      </c>
      <c r="W88" s="15"/>
      <c r="X88" s="35">
        <f>+P88-T88</f>
        <v>-51083.809999999976</v>
      </c>
      <c r="Y88" s="15"/>
      <c r="Z88" s="32">
        <f>IF(T88=0,0,X88/T88)</f>
        <v>1.0038863303400434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4">
        <v>44604.028475694446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3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","406", " - ", "OPA! Greek")</f>
        <v>Department 406 - OPA! Greek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0</v>
      </c>
      <c r="E18" s="20"/>
      <c r="F18" s="30">
        <f t="shared" ref="F18:F28" si="0">IF(D$12=0,0,D18/D$12)</f>
        <v>0</v>
      </c>
      <c r="G18" s="20"/>
      <c r="H18" s="20">
        <f>SUM(OSRRefH22x_0)</f>
        <v>119.55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-119.55</v>
      </c>
      <c r="M18" s="4"/>
      <c r="N18" s="30">
        <f t="shared" ref="N18:N28" si="3">IF(H18=0,0,L18/H18)</f>
        <v>-1</v>
      </c>
      <c r="O18" s="10"/>
      <c r="P18" s="20">
        <f>SUM(OSRRefP22x_0)</f>
        <v>69.290000000000006</v>
      </c>
      <c r="Q18" s="20"/>
      <c r="R18" s="30">
        <f t="shared" ref="R18:R28" si="4">IF(P$12=0,0,P18/P$12)</f>
        <v>0</v>
      </c>
      <c r="S18" s="20"/>
      <c r="T18" s="20">
        <f>SUM(OSRRefT22x_0)</f>
        <v>1864.0500000000002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-1794.7600000000002</v>
      </c>
      <c r="Y18" s="4"/>
      <c r="Z18" s="30">
        <f t="shared" ref="Z18:Z28" si="7">IF(T18=0,0,X18/T18)</f>
        <v>-0.96282825031517394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660.8</v>
      </c>
      <c r="U20" s="2"/>
      <c r="V20" s="6">
        <f t="shared" si="5"/>
        <v>0</v>
      </c>
      <c r="W20" s="2"/>
      <c r="X20" s="7">
        <f t="shared" si="6"/>
        <v>-660.8</v>
      </c>
      <c r="Y20" s="2"/>
      <c r="Z20" s="6">
        <f t="shared" si="7"/>
        <v>-1</v>
      </c>
    </row>
    <row r="21" spans="1:26" s="29" customFormat="1" outlineLevel="1" collapsed="1" x14ac:dyDescent="0.3">
      <c r="A21" s="28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836.85</v>
      </c>
      <c r="U21" s="1"/>
      <c r="V21" s="5">
        <f t="shared" si="5"/>
        <v>0</v>
      </c>
      <c r="W21" s="1"/>
      <c r="X21" s="1">
        <f t="shared" si="6"/>
        <v>-836.85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"6322", " - ", "EQUIPMENT DEPRECIATION EXPENSE")</f>
        <v xml:space="preserve">          6322 - EQUIPMENT DEPRECIATION EXPENSE</v>
      </c>
      <c r="C22" s="11"/>
      <c r="D22" s="7"/>
      <c r="E22" s="2"/>
      <c r="F22" s="6">
        <f t="shared" si="0"/>
        <v>0</v>
      </c>
      <c r="G22" s="2"/>
      <c r="H22" s="7">
        <v>119.55</v>
      </c>
      <c r="I22" s="2"/>
      <c r="J22" s="6">
        <f t="shared" si="1"/>
        <v>0</v>
      </c>
      <c r="K22" s="2"/>
      <c r="L22" s="7">
        <f t="shared" si="2"/>
        <v>-119.55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836.85</v>
      </c>
      <c r="U22" s="2"/>
      <c r="V22" s="6">
        <f t="shared" si="5"/>
        <v>0</v>
      </c>
      <c r="W22" s="2"/>
      <c r="X22" s="7">
        <f t="shared" si="6"/>
        <v>-836.85</v>
      </c>
      <c r="Y22" s="2"/>
      <c r="Z22" s="6">
        <f t="shared" si="7"/>
        <v>-1</v>
      </c>
    </row>
    <row r="23" spans="1:26" s="29" customFormat="1" outlineLevel="1" collapsed="1" x14ac:dyDescent="0.3">
      <c r="A23" s="28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64.02</v>
      </c>
      <c r="U24" s="2"/>
      <c r="V24" s="6">
        <f t="shared" si="5"/>
        <v>0</v>
      </c>
      <c r="W24" s="2"/>
      <c r="X24" s="7">
        <f t="shared" si="6"/>
        <v>-64.02</v>
      </c>
      <c r="Y24" s="2"/>
      <c r="Z24" s="6">
        <f t="shared" si="7"/>
        <v>-1</v>
      </c>
    </row>
    <row r="25" spans="1:26" s="29" customFormat="1" outlineLevel="1" collapsed="1" x14ac:dyDescent="0.3">
      <c r="A25" s="28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69.290000000000006</v>
      </c>
      <c r="Q25" s="1"/>
      <c r="R25" s="5">
        <f t="shared" si="4"/>
        <v>0</v>
      </c>
      <c r="S25" s="1"/>
      <c r="T25" s="1">
        <f>SUM(OSRRefT22_3x_0)</f>
        <v>217.18</v>
      </c>
      <c r="U25" s="1"/>
      <c r="V25" s="5">
        <f t="shared" si="5"/>
        <v>0</v>
      </c>
      <c r="W25" s="1"/>
      <c r="X25" s="1">
        <f t="shared" si="6"/>
        <v>-147.88999999999999</v>
      </c>
      <c r="Y25" s="1"/>
      <c r="Z25" s="5">
        <f t="shared" si="7"/>
        <v>-0.68095588912422866</v>
      </c>
    </row>
    <row r="26" spans="1:26" s="24" customFormat="1" hidden="1" outlineLevel="2" x14ac:dyDescent="0.3">
      <c r="A26" s="27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69.290000000000006</v>
      </c>
      <c r="Q26" s="2"/>
      <c r="R26" s="6">
        <f t="shared" si="4"/>
        <v>0</v>
      </c>
      <c r="S26" s="2"/>
      <c r="T26" s="7">
        <v>217.18</v>
      </c>
      <c r="U26" s="2"/>
      <c r="V26" s="6">
        <f t="shared" si="5"/>
        <v>0</v>
      </c>
      <c r="W26" s="2"/>
      <c r="X26" s="7">
        <f t="shared" si="6"/>
        <v>-147.88999999999999</v>
      </c>
      <c r="Y26" s="2"/>
      <c r="Z26" s="6">
        <f t="shared" si="7"/>
        <v>-0.68095588912422866</v>
      </c>
    </row>
    <row r="27" spans="1:26" s="29" customFormat="1" outlineLevel="1" collapsed="1" x14ac:dyDescent="0.3">
      <c r="A27" s="28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85.2</v>
      </c>
      <c r="U27" s="1"/>
      <c r="V27" s="5">
        <f t="shared" si="5"/>
        <v>0</v>
      </c>
      <c r="W27" s="1"/>
      <c r="X27" s="1">
        <f t="shared" si="6"/>
        <v>-85.2</v>
      </c>
      <c r="Y27" s="1"/>
      <c r="Z27" s="5">
        <f t="shared" si="7"/>
        <v>-1</v>
      </c>
    </row>
    <row r="28" spans="1:26" s="24" customFormat="1" hidden="1" outlineLevel="2" x14ac:dyDescent="0.3">
      <c r="A28" s="27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/>
      <c r="Q28" s="2"/>
      <c r="R28" s="6">
        <f t="shared" si="4"/>
        <v>0</v>
      </c>
      <c r="S28" s="2"/>
      <c r="T28" s="7">
        <v>85.2</v>
      </c>
      <c r="U28" s="2"/>
      <c r="V28" s="6">
        <f t="shared" si="5"/>
        <v>0</v>
      </c>
      <c r="W28" s="2"/>
      <c r="X28" s="7">
        <f t="shared" si="6"/>
        <v>-85.2</v>
      </c>
      <c r="Y28" s="2"/>
      <c r="Z28" s="6">
        <f t="shared" si="7"/>
        <v>-1</v>
      </c>
    </row>
    <row r="29" spans="1:26" s="52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5" t="s">
        <v>276</v>
      </c>
      <c r="C32" s="25"/>
      <c r="D32" s="21">
        <f>+D16-D18+D30</f>
        <v>0</v>
      </c>
      <c r="E32" s="13"/>
      <c r="F32" s="22">
        <f>IF(D$12=0,0,D32/D$12)</f>
        <v>0</v>
      </c>
      <c r="G32" s="13"/>
      <c r="H32" s="21">
        <f>+H16-H18+H30</f>
        <v>-119.55</v>
      </c>
      <c r="I32" s="13"/>
      <c r="J32" s="22">
        <f>IF(H$12=0,0,H32/H$12)</f>
        <v>0</v>
      </c>
      <c r="K32" s="15"/>
      <c r="L32" s="21">
        <f>+D32-H32</f>
        <v>119.55</v>
      </c>
      <c r="M32" s="15"/>
      <c r="N32" s="22">
        <f>IF(H32=0,0,L32/H32)</f>
        <v>-1</v>
      </c>
      <c r="O32" s="26"/>
      <c r="P32" s="21">
        <f>+P16-P18+P30</f>
        <v>-69.290000000000006</v>
      </c>
      <c r="Q32" s="13"/>
      <c r="R32" s="22">
        <f>IF(P$12=0,0,P32/P$12)</f>
        <v>0</v>
      </c>
      <c r="S32" s="13"/>
      <c r="T32" s="21">
        <f>+T16-T18+T30</f>
        <v>-1864.0500000000002</v>
      </c>
      <c r="U32" s="13"/>
      <c r="V32" s="22">
        <f>IF(T$12=0,0,T32/T$12)</f>
        <v>0</v>
      </c>
      <c r="W32" s="15"/>
      <c r="X32" s="21">
        <f>+P32-T32</f>
        <v>1794.7600000000002</v>
      </c>
      <c r="Y32" s="15"/>
      <c r="Z32" s="22">
        <f>IF(T32=0,0,X32/T32)</f>
        <v>-0.96282825031517394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125</v>
      </c>
      <c r="C36" s="25"/>
      <c r="D36" s="36">
        <f>+D32-D34</f>
        <v>0</v>
      </c>
      <c r="E36" s="13"/>
      <c r="F36" s="31">
        <f>IF(D$12=0,0,D36/D$12)</f>
        <v>0</v>
      </c>
      <c r="G36" s="13"/>
      <c r="H36" s="36">
        <f>+H32-H34</f>
        <v>-119.55</v>
      </c>
      <c r="I36" s="13"/>
      <c r="J36" s="31">
        <f>IF(H$12=0,0,H36/H$12)</f>
        <v>0</v>
      </c>
      <c r="K36" s="15"/>
      <c r="L36" s="36">
        <f>D36-H36</f>
        <v>119.55</v>
      </c>
      <c r="M36" s="15"/>
      <c r="N36" s="31">
        <f>IF(H36=0,0,L36/H36)</f>
        <v>-1</v>
      </c>
      <c r="O36" s="26"/>
      <c r="P36" s="36">
        <f>+P32-P34</f>
        <v>-69.290000000000006</v>
      </c>
      <c r="Q36" s="13"/>
      <c r="R36" s="31">
        <f>IF(P$12=0,0,P36/P$12)</f>
        <v>0</v>
      </c>
      <c r="S36" s="13"/>
      <c r="T36" s="36">
        <f>+T32-T34</f>
        <v>-1864.0500000000002</v>
      </c>
      <c r="U36" s="13"/>
      <c r="V36" s="31">
        <f>IF(T$12=0,0,T36/T$12)</f>
        <v>0</v>
      </c>
      <c r="W36" s="15"/>
      <c r="X36" s="36">
        <f>P36-T36</f>
        <v>1794.7600000000002</v>
      </c>
      <c r="Y36" s="15"/>
      <c r="Z36" s="31">
        <f>IF(T36=0,0,X36/T36)</f>
        <v>-0.96282825031517394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5" t="s">
        <v>293</v>
      </c>
      <c r="C39" s="25"/>
      <c r="D39" s="35">
        <f>SUM(D36:D38)</f>
        <v>0</v>
      </c>
      <c r="E39" s="13"/>
      <c r="F39" s="32">
        <f>IF(D$12=0,0,D39/D$12)</f>
        <v>0</v>
      </c>
      <c r="G39" s="13"/>
      <c r="H39" s="35">
        <f>SUM(H36:H38)</f>
        <v>-119.55</v>
      </c>
      <c r="I39" s="13"/>
      <c r="J39" s="32">
        <f>IF(H$12=0,0,H39/H$12)</f>
        <v>0</v>
      </c>
      <c r="K39" s="15"/>
      <c r="L39" s="35">
        <f>+D39-H39</f>
        <v>119.55</v>
      </c>
      <c r="M39" s="15"/>
      <c r="N39" s="32">
        <f>IF(H39=0,0,L39/H39)</f>
        <v>-1</v>
      </c>
      <c r="O39" s="26"/>
      <c r="P39" s="35">
        <f>SUM(P36:P38)</f>
        <v>-69.290000000000006</v>
      </c>
      <c r="Q39" s="13"/>
      <c r="R39" s="32">
        <f>IF(P$12=0,0,P39/P$12)</f>
        <v>0</v>
      </c>
      <c r="S39" s="13"/>
      <c r="T39" s="35">
        <f>SUM(T36:T38)</f>
        <v>-1864.0500000000002</v>
      </c>
      <c r="U39" s="13"/>
      <c r="V39" s="32">
        <f>IF(T$12=0,0,T39/T$12)</f>
        <v>0</v>
      </c>
      <c r="W39" s="15"/>
      <c r="X39" s="35">
        <f>+P39-T39</f>
        <v>1794.7600000000002</v>
      </c>
      <c r="Y39" s="15"/>
      <c r="Z39" s="32">
        <f>IF(T39=0,0,X39/T39)</f>
        <v>-0.96282825031517394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4">
        <v>44604.028475694446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3" t="s">
        <v>56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9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","411", " - ", "University Dining")</f>
        <v>Department 411 - University Dining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59755.259999999987</v>
      </c>
      <c r="E18" s="20"/>
      <c r="F18" s="30">
        <f t="shared" ref="F18:F27" si="0">IF(D$12=0,0,D18/D$12)</f>
        <v>0</v>
      </c>
      <c r="G18" s="20"/>
      <c r="H18" s="20">
        <f>SUM(OSRRefH22x_0)</f>
        <v>37456.579999999994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22298.679999999993</v>
      </c>
      <c r="M18" s="4"/>
      <c r="N18" s="30">
        <f t="shared" ref="N18:N27" si="3">IF(H18=0,0,L18/H18)</f>
        <v>0.59532076874076589</v>
      </c>
      <c r="O18" s="10"/>
      <c r="P18" s="20">
        <f>SUM(OSRRefP22x_0)</f>
        <v>354940.94000000006</v>
      </c>
      <c r="Q18" s="20"/>
      <c r="R18" s="30">
        <f t="shared" ref="R18:R27" si="4">IF(P$12=0,0,P18/P$12)</f>
        <v>0</v>
      </c>
      <c r="S18" s="20"/>
      <c r="T18" s="20">
        <f>SUM(OSRRefT22x_0)</f>
        <v>189852.84000000005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165088.1</v>
      </c>
      <c r="Y18" s="4"/>
      <c r="Z18" s="30">
        <f t="shared" ref="Z18:Z27" si="7">IF(T18=0,0,X18/T18)</f>
        <v>0.86955823257634679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17871.32</v>
      </c>
      <c r="E19" s="1"/>
      <c r="F19" s="5">
        <f t="shared" si="0"/>
        <v>0</v>
      </c>
      <c r="G19" s="1"/>
      <c r="H19" s="1">
        <f>SUM(OSRRefH22_0x_0)</f>
        <v>6174.2999999999993</v>
      </c>
      <c r="I19" s="1"/>
      <c r="J19" s="5">
        <f t="shared" si="1"/>
        <v>0</v>
      </c>
      <c r="K19" s="1"/>
      <c r="L19" s="1">
        <f t="shared" si="2"/>
        <v>11697.02</v>
      </c>
      <c r="M19" s="1"/>
      <c r="N19" s="5">
        <f t="shared" si="3"/>
        <v>1.8944690086325577</v>
      </c>
      <c r="O19" s="14"/>
      <c r="P19" s="1">
        <f>SUM(OSRRefP22_0x_0)</f>
        <v>76837.25</v>
      </c>
      <c r="Q19" s="1"/>
      <c r="R19" s="5">
        <f t="shared" si="4"/>
        <v>0</v>
      </c>
      <c r="S19" s="1"/>
      <c r="T19" s="1">
        <f>SUM(OSRRefT22_0x_0)</f>
        <v>42373.81</v>
      </c>
      <c r="U19" s="1"/>
      <c r="V19" s="5">
        <f t="shared" si="5"/>
        <v>0</v>
      </c>
      <c r="W19" s="1"/>
      <c r="X19" s="1">
        <f t="shared" si="6"/>
        <v>34463.440000000002</v>
      </c>
      <c r="Y19" s="1"/>
      <c r="Z19" s="5">
        <f t="shared" si="7"/>
        <v>0.81331935929292187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1381.25</v>
      </c>
      <c r="E20" s="2"/>
      <c r="F20" s="6">
        <f t="shared" si="0"/>
        <v>0</v>
      </c>
      <c r="G20" s="2"/>
      <c r="H20" s="7">
        <v>852.54</v>
      </c>
      <c r="I20" s="2"/>
      <c r="J20" s="6">
        <f t="shared" si="1"/>
        <v>0</v>
      </c>
      <c r="K20" s="2"/>
      <c r="L20" s="7">
        <f t="shared" si="2"/>
        <v>528.71</v>
      </c>
      <c r="M20" s="2"/>
      <c r="N20" s="6">
        <f t="shared" si="3"/>
        <v>0.62015858493443132</v>
      </c>
      <c r="O20" s="11"/>
      <c r="P20" s="7">
        <v>10194.42</v>
      </c>
      <c r="Q20" s="2"/>
      <c r="R20" s="6">
        <f t="shared" si="4"/>
        <v>0</v>
      </c>
      <c r="S20" s="2"/>
      <c r="T20" s="7">
        <v>6188.63</v>
      </c>
      <c r="U20" s="2"/>
      <c r="V20" s="6">
        <f t="shared" si="5"/>
        <v>0</v>
      </c>
      <c r="W20" s="2"/>
      <c r="X20" s="7">
        <f t="shared" si="6"/>
        <v>4005.79</v>
      </c>
      <c r="Y20" s="2"/>
      <c r="Z20" s="6">
        <f t="shared" si="7"/>
        <v>0.64728219331257486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232.92</v>
      </c>
      <c r="E21" s="2"/>
      <c r="F21" s="6">
        <f t="shared" si="0"/>
        <v>0</v>
      </c>
      <c r="G21" s="2"/>
      <c r="H21" s="7">
        <v>-21.55</v>
      </c>
      <c r="I21" s="2"/>
      <c r="J21" s="6">
        <f t="shared" si="1"/>
        <v>0</v>
      </c>
      <c r="K21" s="2"/>
      <c r="L21" s="7">
        <f t="shared" si="2"/>
        <v>254.47</v>
      </c>
      <c r="M21" s="2"/>
      <c r="N21" s="6">
        <f t="shared" si="3"/>
        <v>-11.808352668213457</v>
      </c>
      <c r="O21" s="11"/>
      <c r="P21" s="7">
        <v>1704</v>
      </c>
      <c r="Q21" s="2"/>
      <c r="R21" s="6">
        <f t="shared" si="4"/>
        <v>0</v>
      </c>
      <c r="S21" s="2"/>
      <c r="T21" s="7">
        <v>403.52</v>
      </c>
      <c r="U21" s="2"/>
      <c r="V21" s="6">
        <f t="shared" si="5"/>
        <v>0</v>
      </c>
      <c r="W21" s="2"/>
      <c r="X21" s="7">
        <f t="shared" si="6"/>
        <v>1300.48</v>
      </c>
      <c r="Y21" s="2"/>
      <c r="Z21" s="6">
        <f t="shared" si="7"/>
        <v>3.2228390166534497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3042.72</v>
      </c>
      <c r="E22" s="2"/>
      <c r="F22" s="6">
        <f t="shared" si="0"/>
        <v>0</v>
      </c>
      <c r="G22" s="2"/>
      <c r="H22" s="7">
        <v>1920.87</v>
      </c>
      <c r="I22" s="2"/>
      <c r="J22" s="6">
        <f t="shared" si="1"/>
        <v>0</v>
      </c>
      <c r="K22" s="2"/>
      <c r="L22" s="7">
        <f t="shared" si="2"/>
        <v>1121.8499999999999</v>
      </c>
      <c r="M22" s="2"/>
      <c r="N22" s="6">
        <f t="shared" si="3"/>
        <v>0.58403223539333737</v>
      </c>
      <c r="O22" s="11"/>
      <c r="P22" s="7">
        <v>22971.63</v>
      </c>
      <c r="Q22" s="2"/>
      <c r="R22" s="6">
        <f t="shared" si="4"/>
        <v>0</v>
      </c>
      <c r="S22" s="2"/>
      <c r="T22" s="7">
        <v>12491.34</v>
      </c>
      <c r="U22" s="2"/>
      <c r="V22" s="6">
        <f t="shared" si="5"/>
        <v>0</v>
      </c>
      <c r="W22" s="2"/>
      <c r="X22" s="7">
        <f t="shared" si="6"/>
        <v>10480.290000000001</v>
      </c>
      <c r="Y22" s="2"/>
      <c r="Z22" s="6">
        <f t="shared" si="7"/>
        <v>0.83900446229147563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46.94</v>
      </c>
      <c r="E23" s="2"/>
      <c r="F23" s="6">
        <f t="shared" si="0"/>
        <v>0</v>
      </c>
      <c r="G23" s="2"/>
      <c r="H23" s="7">
        <v>57.76</v>
      </c>
      <c r="I23" s="2"/>
      <c r="J23" s="6">
        <f t="shared" si="1"/>
        <v>0</v>
      </c>
      <c r="K23" s="2"/>
      <c r="L23" s="7">
        <f t="shared" si="2"/>
        <v>-10.82</v>
      </c>
      <c r="M23" s="2"/>
      <c r="N23" s="6">
        <f t="shared" si="3"/>
        <v>-0.1873268698060942</v>
      </c>
      <c r="O23" s="11"/>
      <c r="P23" s="7">
        <v>343.42</v>
      </c>
      <c r="Q23" s="2"/>
      <c r="R23" s="6">
        <f t="shared" si="4"/>
        <v>0</v>
      </c>
      <c r="S23" s="2"/>
      <c r="T23" s="7">
        <v>253.03</v>
      </c>
      <c r="U23" s="2"/>
      <c r="V23" s="6">
        <f t="shared" si="5"/>
        <v>0</v>
      </c>
      <c r="W23" s="2"/>
      <c r="X23" s="7">
        <f t="shared" si="6"/>
        <v>90.390000000000015</v>
      </c>
      <c r="Y23" s="2"/>
      <c r="Z23" s="6">
        <f t="shared" si="7"/>
        <v>0.35723036794056046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1948.13</v>
      </c>
      <c r="E24" s="2"/>
      <c r="F24" s="6">
        <f t="shared" si="0"/>
        <v>0</v>
      </c>
      <c r="G24" s="2"/>
      <c r="H24" s="7">
        <v>1831.58</v>
      </c>
      <c r="I24" s="2"/>
      <c r="J24" s="6">
        <f t="shared" si="1"/>
        <v>0</v>
      </c>
      <c r="K24" s="2"/>
      <c r="L24" s="7">
        <f t="shared" si="2"/>
        <v>116.55000000000018</v>
      </c>
      <c r="M24" s="2"/>
      <c r="N24" s="6">
        <f t="shared" si="3"/>
        <v>6.3633584118629918E-2</v>
      </c>
      <c r="O24" s="11"/>
      <c r="P24" s="7">
        <v>14273.83</v>
      </c>
      <c r="Q24" s="2"/>
      <c r="R24" s="6">
        <f t="shared" si="4"/>
        <v>0</v>
      </c>
      <c r="S24" s="2"/>
      <c r="T24" s="7">
        <v>10818.79</v>
      </c>
      <c r="U24" s="2"/>
      <c r="V24" s="6">
        <f t="shared" si="5"/>
        <v>0</v>
      </c>
      <c r="W24" s="2"/>
      <c r="X24" s="7">
        <f t="shared" si="6"/>
        <v>3455.0399999999991</v>
      </c>
      <c r="Y24" s="2"/>
      <c r="Z24" s="6">
        <f t="shared" si="7"/>
        <v>0.31935549169546673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3245.46</v>
      </c>
      <c r="E25" s="2"/>
      <c r="F25" s="6">
        <f t="shared" si="0"/>
        <v>0</v>
      </c>
      <c r="G25" s="2"/>
      <c r="H25" s="7">
        <v>1022.52</v>
      </c>
      <c r="I25" s="2"/>
      <c r="J25" s="6">
        <f t="shared" si="1"/>
        <v>0</v>
      </c>
      <c r="K25" s="2"/>
      <c r="L25" s="7">
        <f t="shared" si="2"/>
        <v>2222.94</v>
      </c>
      <c r="M25" s="2"/>
      <c r="N25" s="6">
        <f t="shared" si="3"/>
        <v>2.1739819270038727</v>
      </c>
      <c r="O25" s="11"/>
      <c r="P25" s="7">
        <v>13240.09</v>
      </c>
      <c r="Q25" s="2"/>
      <c r="R25" s="6">
        <f t="shared" si="4"/>
        <v>0</v>
      </c>
      <c r="S25" s="2"/>
      <c r="T25" s="7">
        <v>7861.04</v>
      </c>
      <c r="U25" s="2"/>
      <c r="V25" s="6">
        <f t="shared" si="5"/>
        <v>0</v>
      </c>
      <c r="W25" s="2"/>
      <c r="X25" s="7">
        <f t="shared" si="6"/>
        <v>5379.05</v>
      </c>
      <c r="Y25" s="2"/>
      <c r="Z25" s="6">
        <f t="shared" si="7"/>
        <v>0.68426696722062219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7730.97</v>
      </c>
      <c r="E26" s="2"/>
      <c r="F26" s="6">
        <f t="shared" si="0"/>
        <v>0</v>
      </c>
      <c r="G26" s="2"/>
      <c r="H26" s="7">
        <v>510.58</v>
      </c>
      <c r="I26" s="2"/>
      <c r="J26" s="6">
        <f t="shared" si="1"/>
        <v>0</v>
      </c>
      <c r="K26" s="2"/>
      <c r="L26" s="7">
        <f t="shared" si="2"/>
        <v>7220.39</v>
      </c>
      <c r="M26" s="2"/>
      <c r="N26" s="6">
        <f t="shared" si="3"/>
        <v>14.141544909710527</v>
      </c>
      <c r="O26" s="11"/>
      <c r="P26" s="7">
        <v>12105.72</v>
      </c>
      <c r="Q26" s="2"/>
      <c r="R26" s="6">
        <f t="shared" si="4"/>
        <v>0</v>
      </c>
      <c r="S26" s="2"/>
      <c r="T26" s="7">
        <v>3925.29</v>
      </c>
      <c r="U26" s="2"/>
      <c r="V26" s="6">
        <f t="shared" si="5"/>
        <v>0</v>
      </c>
      <c r="W26" s="2"/>
      <c r="X26" s="7">
        <f t="shared" si="6"/>
        <v>8180.4299999999994</v>
      </c>
      <c r="Y26" s="2"/>
      <c r="Z26" s="6">
        <f t="shared" si="7"/>
        <v>2.0840320078261731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242.93</v>
      </c>
      <c r="E27" s="2"/>
      <c r="F27" s="6">
        <f t="shared" si="0"/>
        <v>0</v>
      </c>
      <c r="G27" s="2"/>
      <c r="H27" s="7"/>
      <c r="I27" s="2"/>
      <c r="J27" s="6">
        <f t="shared" si="1"/>
        <v>0</v>
      </c>
      <c r="K27" s="2"/>
      <c r="L27" s="7">
        <f t="shared" si="2"/>
        <v>242.93</v>
      </c>
      <c r="M27" s="2"/>
      <c r="N27" s="6">
        <f t="shared" si="3"/>
        <v>0</v>
      </c>
      <c r="O27" s="11"/>
      <c r="P27" s="7">
        <v>2004.14</v>
      </c>
      <c r="Q27" s="2"/>
      <c r="R27" s="6">
        <f t="shared" si="4"/>
        <v>0</v>
      </c>
      <c r="S27" s="2"/>
      <c r="T27" s="7">
        <v>432.17</v>
      </c>
      <c r="U27" s="2"/>
      <c r="V27" s="6">
        <f t="shared" si="5"/>
        <v>0</v>
      </c>
      <c r="W27" s="2"/>
      <c r="X27" s="7">
        <f t="shared" si="6"/>
        <v>1571.97</v>
      </c>
      <c r="Y27" s="2"/>
      <c r="Z27" s="6">
        <f t="shared" si="7"/>
        <v>3.637388064881875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22061.96</v>
      </c>
      <c r="E28" s="1"/>
      <c r="F28" s="5">
        <f t="shared" ref="F28:F33" si="8">IF(D$12=0,0,D28/D$12)</f>
        <v>0</v>
      </c>
      <c r="G28" s="1"/>
      <c r="H28" s="1">
        <f>SUM(OSRRefH22_1x_0)</f>
        <v>13911.28</v>
      </c>
      <c r="I28" s="1"/>
      <c r="J28" s="5">
        <f t="shared" ref="J28:J33" si="9">IF(H$12=0,0,H28/H$12)</f>
        <v>0</v>
      </c>
      <c r="K28" s="1"/>
      <c r="L28" s="1">
        <f t="shared" ref="L28:L33" si="10">+D28-H28</f>
        <v>8150.6799999999985</v>
      </c>
      <c r="M28" s="1"/>
      <c r="N28" s="5">
        <f t="shared" ref="N28:N33" si="11">IF(H28=0,0,L28/H28)</f>
        <v>0.58590438838122716</v>
      </c>
      <c r="O28" s="14"/>
      <c r="P28" s="1">
        <f>SUM(OSRRefP22_1x_0)</f>
        <v>125911.09999999999</v>
      </c>
      <c r="Q28" s="1"/>
      <c r="R28" s="5">
        <f t="shared" ref="R28:R33" si="12">IF(P$12=0,0,P28/P$12)</f>
        <v>0</v>
      </c>
      <c r="S28" s="1"/>
      <c r="T28" s="1">
        <f>SUM(OSRRefT22_1x_0)</f>
        <v>78976.08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46935.01999999999</v>
      </c>
      <c r="Y28" s="1"/>
      <c r="Z28" s="5">
        <f t="shared" ref="Z28:Z33" si="15">IF(T28=0,0,X28/T28)</f>
        <v>0.59429412044760876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14390.06</v>
      </c>
      <c r="E29" s="2"/>
      <c r="F29" s="6">
        <f t="shared" si="8"/>
        <v>0</v>
      </c>
      <c r="G29" s="2"/>
      <c r="H29" s="7">
        <v>13911.28</v>
      </c>
      <c r="I29" s="2"/>
      <c r="J29" s="6">
        <f t="shared" si="9"/>
        <v>0</v>
      </c>
      <c r="K29" s="2"/>
      <c r="L29" s="7">
        <f t="shared" si="10"/>
        <v>478.77999999999884</v>
      </c>
      <c r="M29" s="2"/>
      <c r="N29" s="6">
        <f t="shared" si="11"/>
        <v>3.4416674813532527E-2</v>
      </c>
      <c r="O29" s="11"/>
      <c r="P29" s="7">
        <v>78259.83</v>
      </c>
      <c r="Q29" s="2"/>
      <c r="R29" s="6">
        <f t="shared" si="12"/>
        <v>0</v>
      </c>
      <c r="S29" s="2"/>
      <c r="T29" s="7">
        <v>76591.08</v>
      </c>
      <c r="U29" s="2"/>
      <c r="V29" s="6">
        <f t="shared" si="13"/>
        <v>0</v>
      </c>
      <c r="W29" s="2"/>
      <c r="X29" s="7">
        <f t="shared" si="14"/>
        <v>1668.75</v>
      </c>
      <c r="Y29" s="2"/>
      <c r="Z29" s="6">
        <f t="shared" si="15"/>
        <v>2.1787785209452588E-2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7671.9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7671.9</v>
      </c>
      <c r="M30" s="2"/>
      <c r="N30" s="6">
        <f t="shared" si="11"/>
        <v>0</v>
      </c>
      <c r="O30" s="11"/>
      <c r="P30" s="7">
        <v>44644.03</v>
      </c>
      <c r="Q30" s="2"/>
      <c r="R30" s="6">
        <f t="shared" si="12"/>
        <v>0</v>
      </c>
      <c r="S30" s="2"/>
      <c r="T30" s="7">
        <v>2080</v>
      </c>
      <c r="U30" s="2"/>
      <c r="V30" s="6">
        <f t="shared" si="13"/>
        <v>0</v>
      </c>
      <c r="W30" s="2"/>
      <c r="X30" s="7">
        <f t="shared" si="14"/>
        <v>42564.03</v>
      </c>
      <c r="Y30" s="2"/>
      <c r="Z30" s="6">
        <f t="shared" si="15"/>
        <v>20.46347596153846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1380.76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1380.76</v>
      </c>
      <c r="Y31" s="2"/>
      <c r="Z31" s="6">
        <f t="shared" si="15"/>
        <v>0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1626.48</v>
      </c>
      <c r="Q32" s="2"/>
      <c r="R32" s="6">
        <f t="shared" si="12"/>
        <v>0</v>
      </c>
      <c r="S32" s="2"/>
      <c r="T32" s="7">
        <v>305</v>
      </c>
      <c r="U32" s="2"/>
      <c r="V32" s="6">
        <f t="shared" si="13"/>
        <v>0</v>
      </c>
      <c r="W32" s="2"/>
      <c r="X32" s="7">
        <f t="shared" si="14"/>
        <v>1321.48</v>
      </c>
      <c r="Y32" s="2"/>
      <c r="Z32" s="6">
        <f t="shared" si="15"/>
        <v>4.3327213114754102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0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9" customFormat="1" outlineLevel="1" collapsed="1" x14ac:dyDescent="0.3">
      <c r="A34" s="28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177.96</v>
      </c>
      <c r="E34" s="1"/>
      <c r="F34" s="5">
        <f t="shared" ref="F34:F38" si="16">IF(D$12=0,0,D34/D$12)</f>
        <v>0</v>
      </c>
      <c r="G34" s="1"/>
      <c r="H34" s="1">
        <f>SUM(OSRRefH22_2x_0)</f>
        <v>492.67</v>
      </c>
      <c r="I34" s="1"/>
      <c r="J34" s="5">
        <f t="shared" ref="J34:J38" si="17">IF(H$12=0,0,H34/H$12)</f>
        <v>0</v>
      </c>
      <c r="K34" s="1"/>
      <c r="L34" s="1">
        <f t="shared" ref="L34:L38" si="18">+D34-H34</f>
        <v>-314.71000000000004</v>
      </c>
      <c r="M34" s="1"/>
      <c r="N34" s="5">
        <f t="shared" ref="N34:N38" si="19">IF(H34=0,0,L34/H34)</f>
        <v>-0.63878458197170529</v>
      </c>
      <c r="O34" s="14"/>
      <c r="P34" s="1">
        <f>SUM(OSRRefP22_2x_0)</f>
        <v>1584.35</v>
      </c>
      <c r="Q34" s="1"/>
      <c r="R34" s="5">
        <f t="shared" ref="R34:R38" si="20">IF(P$12=0,0,P34/P$12)</f>
        <v>0</v>
      </c>
      <c r="S34" s="1"/>
      <c r="T34" s="1">
        <f>SUM(OSRRefT22_2x_0)</f>
        <v>2680.58</v>
      </c>
      <c r="U34" s="1"/>
      <c r="V34" s="5">
        <f t="shared" ref="V34:V38" si="21">IF(T$12=0,0,T34/T$12)</f>
        <v>0</v>
      </c>
      <c r="W34" s="1"/>
      <c r="X34" s="1">
        <f t="shared" ref="X34:X38" si="22">+P34-T34</f>
        <v>-1096.23</v>
      </c>
      <c r="Y34" s="1"/>
      <c r="Z34" s="5">
        <f t="shared" ref="Z34:Z38" si="23">IF(T34=0,0,X34/T34)</f>
        <v>-0.40895254012191395</v>
      </c>
    </row>
    <row r="35" spans="1:26" s="24" customFormat="1" hidden="1" outlineLevel="2" x14ac:dyDescent="0.3">
      <c r="A35" s="27"/>
      <c r="B35" s="11" t="str">
        <f>CONCATENATE("          ", "6381", " - ", "BANK/CREDIT CARD FEES")</f>
        <v xml:space="preserve">          6381 - BANK/CREDIT CARD FEES</v>
      </c>
      <c r="C35" s="11"/>
      <c r="D35" s="7">
        <v>177.96</v>
      </c>
      <c r="E35" s="2"/>
      <c r="F35" s="6">
        <f t="shared" si="16"/>
        <v>0</v>
      </c>
      <c r="G35" s="2"/>
      <c r="H35" s="7">
        <v>492.67</v>
      </c>
      <c r="I35" s="2"/>
      <c r="J35" s="6">
        <f t="shared" si="17"/>
        <v>0</v>
      </c>
      <c r="K35" s="2"/>
      <c r="L35" s="7">
        <f t="shared" si="18"/>
        <v>-314.71000000000004</v>
      </c>
      <c r="M35" s="2"/>
      <c r="N35" s="6">
        <f t="shared" si="19"/>
        <v>-0.63878458197170529</v>
      </c>
      <c r="O35" s="11"/>
      <c r="P35" s="7">
        <v>1584.35</v>
      </c>
      <c r="Q35" s="2"/>
      <c r="R35" s="6">
        <f t="shared" si="20"/>
        <v>0</v>
      </c>
      <c r="S35" s="2"/>
      <c r="T35" s="7">
        <v>2680.58</v>
      </c>
      <c r="U35" s="2"/>
      <c r="V35" s="6">
        <f t="shared" si="21"/>
        <v>0</v>
      </c>
      <c r="W35" s="2"/>
      <c r="X35" s="7">
        <f t="shared" si="22"/>
        <v>-1096.23</v>
      </c>
      <c r="Y35" s="2"/>
      <c r="Z35" s="6">
        <f t="shared" si="23"/>
        <v>-0.40895254012191395</v>
      </c>
    </row>
    <row r="36" spans="1:26" s="29" customFormat="1" outlineLevel="1" collapsed="1" x14ac:dyDescent="0.3">
      <c r="A36" s="28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5331.53</v>
      </c>
      <c r="E36" s="1"/>
      <c r="F36" s="5">
        <f t="shared" si="16"/>
        <v>0</v>
      </c>
      <c r="G36" s="1"/>
      <c r="H36" s="1">
        <f>SUM(OSRRefH22_3x_0)</f>
        <v>6779.8600000000006</v>
      </c>
      <c r="I36" s="1"/>
      <c r="J36" s="5">
        <f t="shared" si="17"/>
        <v>0</v>
      </c>
      <c r="K36" s="1"/>
      <c r="L36" s="1">
        <f t="shared" si="18"/>
        <v>-1448.3300000000008</v>
      </c>
      <c r="M36" s="1"/>
      <c r="N36" s="5">
        <f t="shared" si="19"/>
        <v>-0.21362240518240799</v>
      </c>
      <c r="O36" s="14"/>
      <c r="P36" s="1">
        <f>SUM(OSRRefP22_3x_0)</f>
        <v>37320.71</v>
      </c>
      <c r="Q36" s="1"/>
      <c r="R36" s="5">
        <f t="shared" si="20"/>
        <v>0</v>
      </c>
      <c r="S36" s="1"/>
      <c r="T36" s="1">
        <f>SUM(OSRRefT22_3x_0)</f>
        <v>48243.210000000006</v>
      </c>
      <c r="U36" s="1"/>
      <c r="V36" s="5">
        <f t="shared" si="21"/>
        <v>0</v>
      </c>
      <c r="W36" s="1"/>
      <c r="X36" s="1">
        <f t="shared" si="22"/>
        <v>-10922.500000000007</v>
      </c>
      <c r="Y36" s="1"/>
      <c r="Z36" s="5">
        <f t="shared" si="23"/>
        <v>-0.22640491791487352</v>
      </c>
    </row>
    <row r="37" spans="1:26" s="24" customFormat="1" hidden="1" outlineLevel="2" x14ac:dyDescent="0.3">
      <c r="A37" s="27"/>
      <c r="B37" s="11" t="str">
        <f>CONCATENATE("          ", "6321", " - ", "BUILDING DEPRECIATION")</f>
        <v xml:space="preserve">          6321 - BUILDING DEPRECIATION</v>
      </c>
      <c r="C37" s="11"/>
      <c r="D37" s="7">
        <v>1822.68</v>
      </c>
      <c r="E37" s="2"/>
      <c r="F37" s="6">
        <f t="shared" si="16"/>
        <v>0</v>
      </c>
      <c r="G37" s="2"/>
      <c r="H37" s="7">
        <v>1822.68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12758.76</v>
      </c>
      <c r="Q37" s="2"/>
      <c r="R37" s="6">
        <f t="shared" si="20"/>
        <v>0</v>
      </c>
      <c r="S37" s="2"/>
      <c r="T37" s="7">
        <v>13542.95</v>
      </c>
      <c r="U37" s="2"/>
      <c r="V37" s="6">
        <f t="shared" si="21"/>
        <v>0</v>
      </c>
      <c r="W37" s="2"/>
      <c r="X37" s="7">
        <f t="shared" si="22"/>
        <v>-784.19000000000051</v>
      </c>
      <c r="Y37" s="2"/>
      <c r="Z37" s="6">
        <f t="shared" si="23"/>
        <v>-5.7903927873912291E-2</v>
      </c>
    </row>
    <row r="38" spans="1:26" s="24" customFormat="1" hidden="1" outlineLevel="2" x14ac:dyDescent="0.3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3508.85</v>
      </c>
      <c r="E38" s="2"/>
      <c r="F38" s="6">
        <f t="shared" si="16"/>
        <v>0</v>
      </c>
      <c r="G38" s="2"/>
      <c r="H38" s="7">
        <v>4957.18</v>
      </c>
      <c r="I38" s="2"/>
      <c r="J38" s="6">
        <f t="shared" si="17"/>
        <v>0</v>
      </c>
      <c r="K38" s="2"/>
      <c r="L38" s="7">
        <f t="shared" si="18"/>
        <v>-1448.3300000000004</v>
      </c>
      <c r="M38" s="2"/>
      <c r="N38" s="6">
        <f t="shared" si="19"/>
        <v>-0.29216812784688073</v>
      </c>
      <c r="O38" s="11"/>
      <c r="P38" s="7">
        <v>24561.95</v>
      </c>
      <c r="Q38" s="2"/>
      <c r="R38" s="6">
        <f t="shared" si="20"/>
        <v>0</v>
      </c>
      <c r="S38" s="2"/>
      <c r="T38" s="7">
        <v>34700.26</v>
      </c>
      <c r="U38" s="2"/>
      <c r="V38" s="6">
        <f t="shared" si="21"/>
        <v>0</v>
      </c>
      <c r="W38" s="2"/>
      <c r="X38" s="7">
        <f t="shared" si="22"/>
        <v>-10138.310000000001</v>
      </c>
      <c r="Y38" s="2"/>
      <c r="Z38" s="6">
        <f t="shared" si="23"/>
        <v>-0.29216812784688073</v>
      </c>
    </row>
    <row r="39" spans="1:26" s="29" customFormat="1" outlineLevel="1" collapsed="1" x14ac:dyDescent="0.3">
      <c r="A39" s="28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ref="F39:F52" si="24">IF(D$12=0,0,D39/D$12)</f>
        <v>0</v>
      </c>
      <c r="G39" s="1"/>
      <c r="H39" s="1">
        <f>SUM(OSRRefH22_4x_0)</f>
        <v>0</v>
      </c>
      <c r="I39" s="1"/>
      <c r="J39" s="5">
        <f t="shared" ref="J39:J52" si="25">IF(H$12=0,0,H39/H$12)</f>
        <v>0</v>
      </c>
      <c r="K39" s="1"/>
      <c r="L39" s="1">
        <f t="shared" ref="L39:L52" si="26">+D39-H39</f>
        <v>0</v>
      </c>
      <c r="M39" s="1"/>
      <c r="N39" s="5">
        <f t="shared" ref="N39:N52" si="27">IF(H39=0,0,L39/H39)</f>
        <v>0</v>
      </c>
      <c r="O39" s="14"/>
      <c r="P39" s="1">
        <f>SUM(OSRRefP22_4x_0)</f>
        <v>18</v>
      </c>
      <c r="Q39" s="1"/>
      <c r="R39" s="5">
        <f t="shared" ref="R39:R52" si="28">IF(P$12=0,0,P39/P$12)</f>
        <v>0</v>
      </c>
      <c r="S39" s="1"/>
      <c r="T39" s="1">
        <f>SUM(OSRRefT22_4x_0)</f>
        <v>0</v>
      </c>
      <c r="U39" s="1"/>
      <c r="V39" s="5">
        <f t="shared" ref="V39:V52" si="29">IF(T$12=0,0,T39/T$12)</f>
        <v>0</v>
      </c>
      <c r="W39" s="1"/>
      <c r="X39" s="1">
        <f t="shared" ref="X39:X52" si="30">+P39-T39</f>
        <v>18</v>
      </c>
      <c r="Y39" s="1"/>
      <c r="Z39" s="5">
        <f t="shared" ref="Z39:Z52" si="31">IF(T39=0,0,X39/T39)</f>
        <v>0</v>
      </c>
    </row>
    <row r="40" spans="1:26" s="24" customFormat="1" hidden="1" outlineLevel="2" x14ac:dyDescent="0.3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24"/>
        <v>0</v>
      </c>
      <c r="G40" s="2"/>
      <c r="H40" s="7"/>
      <c r="I40" s="2"/>
      <c r="J40" s="6">
        <f t="shared" si="25"/>
        <v>0</v>
      </c>
      <c r="K40" s="2"/>
      <c r="L40" s="7">
        <f t="shared" si="26"/>
        <v>0</v>
      </c>
      <c r="M40" s="2"/>
      <c r="N40" s="6">
        <f t="shared" si="27"/>
        <v>0</v>
      </c>
      <c r="O40" s="11"/>
      <c r="P40" s="7">
        <v>18</v>
      </c>
      <c r="Q40" s="2"/>
      <c r="R40" s="6">
        <f t="shared" si="28"/>
        <v>0</v>
      </c>
      <c r="S40" s="2"/>
      <c r="T40" s="7"/>
      <c r="U40" s="2"/>
      <c r="V40" s="6">
        <f t="shared" si="29"/>
        <v>0</v>
      </c>
      <c r="W40" s="2"/>
      <c r="X40" s="7">
        <f t="shared" si="30"/>
        <v>18</v>
      </c>
      <c r="Y40" s="2"/>
      <c r="Z40" s="6">
        <f t="shared" si="31"/>
        <v>0</v>
      </c>
    </row>
    <row r="41" spans="1:26" s="29" customFormat="1" outlineLevel="1" collapsed="1" x14ac:dyDescent="0.3">
      <c r="A41" s="28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91.26</v>
      </c>
      <c r="I41" s="1"/>
      <c r="J41" s="5">
        <f t="shared" si="25"/>
        <v>0</v>
      </c>
      <c r="K41" s="1"/>
      <c r="L41" s="1">
        <f t="shared" si="26"/>
        <v>-91.26</v>
      </c>
      <c r="M41" s="1"/>
      <c r="N41" s="5">
        <f t="shared" si="27"/>
        <v>-1</v>
      </c>
      <c r="O41" s="14"/>
      <c r="P41" s="1">
        <f>SUM(OSRRefP22_5x_0)</f>
        <v>547.55999999999995</v>
      </c>
      <c r="Q41" s="1"/>
      <c r="R41" s="5">
        <f t="shared" si="28"/>
        <v>0</v>
      </c>
      <c r="S41" s="1"/>
      <c r="T41" s="1">
        <f>SUM(OSRRefT22_5x_0)</f>
        <v>2928.23</v>
      </c>
      <c r="U41" s="1"/>
      <c r="V41" s="5">
        <f t="shared" si="29"/>
        <v>0</v>
      </c>
      <c r="W41" s="1"/>
      <c r="X41" s="1">
        <f t="shared" si="30"/>
        <v>-2380.67</v>
      </c>
      <c r="Y41" s="1"/>
      <c r="Z41" s="5">
        <f t="shared" si="31"/>
        <v>-0.81300649197638164</v>
      </c>
    </row>
    <row r="42" spans="1:26" s="24" customFormat="1" hidden="1" outlineLevel="2" x14ac:dyDescent="0.3">
      <c r="A42" s="27"/>
      <c r="B42" s="11" t="str">
        <f>CONCATENATE("          ", "6351", " - ", "EQUIPMENT RENTAL")</f>
        <v xml:space="preserve">          6351 - EQUIPMENT RENTAL</v>
      </c>
      <c r="C42" s="11"/>
      <c r="D42" s="7"/>
      <c r="E42" s="2"/>
      <c r="F42" s="6">
        <f t="shared" si="24"/>
        <v>0</v>
      </c>
      <c r="G42" s="2"/>
      <c r="H42" s="7">
        <v>91.26</v>
      </c>
      <c r="I42" s="2"/>
      <c r="J42" s="6">
        <f t="shared" si="25"/>
        <v>0</v>
      </c>
      <c r="K42" s="2"/>
      <c r="L42" s="7">
        <f t="shared" si="26"/>
        <v>-91.26</v>
      </c>
      <c r="M42" s="2"/>
      <c r="N42" s="6">
        <f t="shared" si="27"/>
        <v>-1</v>
      </c>
      <c r="O42" s="11"/>
      <c r="P42" s="7">
        <v>547.55999999999995</v>
      </c>
      <c r="Q42" s="2"/>
      <c r="R42" s="6">
        <f t="shared" si="28"/>
        <v>0</v>
      </c>
      <c r="S42" s="2"/>
      <c r="T42" s="7">
        <v>2928.23</v>
      </c>
      <c r="U42" s="2"/>
      <c r="V42" s="6">
        <f t="shared" si="29"/>
        <v>0</v>
      </c>
      <c r="W42" s="2"/>
      <c r="X42" s="7">
        <f t="shared" si="30"/>
        <v>-2380.67</v>
      </c>
      <c r="Y42" s="2"/>
      <c r="Z42" s="6">
        <f t="shared" si="31"/>
        <v>-0.81300649197638164</v>
      </c>
    </row>
    <row r="43" spans="1:26" s="29" customFormat="1" outlineLevel="1" collapsed="1" x14ac:dyDescent="0.3">
      <c r="A43" s="28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-5.41</v>
      </c>
      <c r="U43" s="1"/>
      <c r="V43" s="5">
        <f t="shared" si="29"/>
        <v>0</v>
      </c>
      <c r="W43" s="1"/>
      <c r="X43" s="1">
        <f t="shared" si="30"/>
        <v>5.41</v>
      </c>
      <c r="Y43" s="1"/>
      <c r="Z43" s="5">
        <f t="shared" si="31"/>
        <v>-1</v>
      </c>
    </row>
    <row r="44" spans="1:26" s="24" customFormat="1" hidden="1" outlineLevel="2" x14ac:dyDescent="0.3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/>
      <c r="Q44" s="2"/>
      <c r="R44" s="6">
        <f t="shared" si="28"/>
        <v>0</v>
      </c>
      <c r="S44" s="2"/>
      <c r="T44" s="7">
        <v>-5.41</v>
      </c>
      <c r="U44" s="2"/>
      <c r="V44" s="6">
        <f t="shared" si="29"/>
        <v>0</v>
      </c>
      <c r="W44" s="2"/>
      <c r="X44" s="7">
        <f t="shared" si="30"/>
        <v>5.41</v>
      </c>
      <c r="Y44" s="2"/>
      <c r="Z44" s="6">
        <f t="shared" si="31"/>
        <v>-1</v>
      </c>
    </row>
    <row r="45" spans="1:26" s="29" customFormat="1" outlineLevel="1" collapsed="1" x14ac:dyDescent="0.3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397</v>
      </c>
      <c r="I45" s="1"/>
      <c r="J45" s="5">
        <f t="shared" si="25"/>
        <v>0</v>
      </c>
      <c r="K45" s="1"/>
      <c r="L45" s="1">
        <f t="shared" si="26"/>
        <v>-397</v>
      </c>
      <c r="M45" s="1"/>
      <c r="N45" s="5">
        <f t="shared" si="27"/>
        <v>-1</v>
      </c>
      <c r="O45" s="14"/>
      <c r="P45" s="1">
        <f>SUM(OSRRefP22_7x_0)</f>
        <v>122.51</v>
      </c>
      <c r="Q45" s="1"/>
      <c r="R45" s="5">
        <f t="shared" si="28"/>
        <v>0</v>
      </c>
      <c r="S45" s="1"/>
      <c r="T45" s="1">
        <f>SUM(OSRRefT22_7x_0)</f>
        <v>397</v>
      </c>
      <c r="U45" s="1"/>
      <c r="V45" s="5">
        <f t="shared" si="29"/>
        <v>0</v>
      </c>
      <c r="W45" s="1"/>
      <c r="X45" s="1">
        <f t="shared" si="30"/>
        <v>-274.49</v>
      </c>
      <c r="Y45" s="1"/>
      <c r="Z45" s="5">
        <f t="shared" si="31"/>
        <v>-0.69141057934508821</v>
      </c>
    </row>
    <row r="46" spans="1:26" s="24" customFormat="1" hidden="1" outlineLevel="2" x14ac:dyDescent="0.3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4"/>
        <v>0</v>
      </c>
      <c r="G46" s="2"/>
      <c r="H46" s="7">
        <v>397</v>
      </c>
      <c r="I46" s="2"/>
      <c r="J46" s="6">
        <f t="shared" si="25"/>
        <v>0</v>
      </c>
      <c r="K46" s="2"/>
      <c r="L46" s="7">
        <f t="shared" si="26"/>
        <v>-397</v>
      </c>
      <c r="M46" s="2"/>
      <c r="N46" s="6">
        <f t="shared" si="27"/>
        <v>-1</v>
      </c>
      <c r="O46" s="11"/>
      <c r="P46" s="7">
        <v>122.51</v>
      </c>
      <c r="Q46" s="2"/>
      <c r="R46" s="6">
        <f t="shared" si="28"/>
        <v>0</v>
      </c>
      <c r="S46" s="2"/>
      <c r="T46" s="7">
        <v>397</v>
      </c>
      <c r="U46" s="2"/>
      <c r="V46" s="6">
        <f t="shared" si="29"/>
        <v>0</v>
      </c>
      <c r="W46" s="2"/>
      <c r="X46" s="7">
        <f t="shared" si="30"/>
        <v>-274.49</v>
      </c>
      <c r="Y46" s="2"/>
      <c r="Z46" s="6">
        <f t="shared" si="31"/>
        <v>-0.69141057934508821</v>
      </c>
    </row>
    <row r="47" spans="1:26" s="29" customFormat="1" outlineLevel="1" collapsed="1" x14ac:dyDescent="0.3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4884.6000000000004</v>
      </c>
      <c r="E47" s="1"/>
      <c r="F47" s="5">
        <f t="shared" si="24"/>
        <v>0</v>
      </c>
      <c r="G47" s="1"/>
      <c r="H47" s="1">
        <f>SUM(OSRRefH22_8x_0)</f>
        <v>3598.85</v>
      </c>
      <c r="I47" s="1"/>
      <c r="J47" s="5">
        <f t="shared" si="25"/>
        <v>0</v>
      </c>
      <c r="K47" s="1"/>
      <c r="L47" s="1">
        <f t="shared" si="26"/>
        <v>1285.7500000000005</v>
      </c>
      <c r="M47" s="1"/>
      <c r="N47" s="5">
        <f t="shared" si="27"/>
        <v>0.35726690470567002</v>
      </c>
      <c r="O47" s="14"/>
      <c r="P47" s="1">
        <f>SUM(OSRRefP22_8x_0)</f>
        <v>41075.199999999997</v>
      </c>
      <c r="Q47" s="1"/>
      <c r="R47" s="5">
        <f t="shared" si="28"/>
        <v>0</v>
      </c>
      <c r="S47" s="1"/>
      <c r="T47" s="1">
        <f>SUM(OSRRefT22_8x_0)</f>
        <v>31303.95</v>
      </c>
      <c r="U47" s="1"/>
      <c r="V47" s="5">
        <f t="shared" si="29"/>
        <v>0</v>
      </c>
      <c r="W47" s="1"/>
      <c r="X47" s="1">
        <f t="shared" si="30"/>
        <v>9771.2499999999964</v>
      </c>
      <c r="Y47" s="1"/>
      <c r="Z47" s="5">
        <f t="shared" si="31"/>
        <v>0.31214111957117219</v>
      </c>
    </row>
    <row r="48" spans="1:26" s="24" customFormat="1" hidden="1" outlineLevel="2" x14ac:dyDescent="0.3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4884.6000000000004</v>
      </c>
      <c r="E48" s="2"/>
      <c r="F48" s="6">
        <f t="shared" si="24"/>
        <v>0</v>
      </c>
      <c r="G48" s="2"/>
      <c r="H48" s="7">
        <v>3598.85</v>
      </c>
      <c r="I48" s="2"/>
      <c r="J48" s="6">
        <f t="shared" si="25"/>
        <v>0</v>
      </c>
      <c r="K48" s="2"/>
      <c r="L48" s="7">
        <f t="shared" si="26"/>
        <v>1285.7500000000005</v>
      </c>
      <c r="M48" s="2"/>
      <c r="N48" s="6">
        <f t="shared" si="27"/>
        <v>0.35726690470567002</v>
      </c>
      <c r="O48" s="11"/>
      <c r="P48" s="7">
        <v>41075.199999999997</v>
      </c>
      <c r="Q48" s="2"/>
      <c r="R48" s="6">
        <f t="shared" si="28"/>
        <v>0</v>
      </c>
      <c r="S48" s="2"/>
      <c r="T48" s="7">
        <v>31303.95</v>
      </c>
      <c r="U48" s="2"/>
      <c r="V48" s="6">
        <f t="shared" si="29"/>
        <v>0</v>
      </c>
      <c r="W48" s="2"/>
      <c r="X48" s="7">
        <f t="shared" si="30"/>
        <v>9771.2499999999964</v>
      </c>
      <c r="Y48" s="2"/>
      <c r="Z48" s="6">
        <f t="shared" si="31"/>
        <v>0.31214111957117219</v>
      </c>
    </row>
    <row r="49" spans="1:26" s="29" customFormat="1" outlineLevel="1" collapsed="1" x14ac:dyDescent="0.3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2693.7</v>
      </c>
      <c r="E49" s="1"/>
      <c r="F49" s="5">
        <f t="shared" si="24"/>
        <v>0</v>
      </c>
      <c r="G49" s="1"/>
      <c r="H49" s="1">
        <f>SUM(OSRRefH22_9x_0)</f>
        <v>38.1</v>
      </c>
      <c r="I49" s="1"/>
      <c r="J49" s="5">
        <f t="shared" si="25"/>
        <v>0</v>
      </c>
      <c r="K49" s="1"/>
      <c r="L49" s="1">
        <f t="shared" si="26"/>
        <v>2655.6</v>
      </c>
      <c r="M49" s="1"/>
      <c r="N49" s="5">
        <f t="shared" si="27"/>
        <v>69.7007874015748</v>
      </c>
      <c r="O49" s="14"/>
      <c r="P49" s="1">
        <f>SUM(OSRRefP22_9x_0)</f>
        <v>22452.49</v>
      </c>
      <c r="Q49" s="1"/>
      <c r="R49" s="5">
        <f t="shared" si="28"/>
        <v>0</v>
      </c>
      <c r="S49" s="1"/>
      <c r="T49" s="1">
        <f>SUM(OSRRefT22_9x_0)</f>
        <v>2945.2299999999996</v>
      </c>
      <c r="U49" s="1"/>
      <c r="V49" s="5">
        <f t="shared" si="29"/>
        <v>0</v>
      </c>
      <c r="W49" s="1"/>
      <c r="X49" s="1">
        <f t="shared" si="30"/>
        <v>19507.260000000002</v>
      </c>
      <c r="Y49" s="1"/>
      <c r="Z49" s="5">
        <f t="shared" si="31"/>
        <v>6.6233401126567379</v>
      </c>
    </row>
    <row r="50" spans="1:26" s="24" customFormat="1" hidden="1" outlineLevel="2" x14ac:dyDescent="0.3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7">
        <v>481.09</v>
      </c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481.09</v>
      </c>
      <c r="M50" s="2"/>
      <c r="N50" s="6">
        <f t="shared" si="27"/>
        <v>0</v>
      </c>
      <c r="O50" s="11"/>
      <c r="P50" s="7">
        <v>6817.17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6817.17</v>
      </c>
      <c r="Y50" s="2"/>
      <c r="Z50" s="6">
        <f t="shared" si="31"/>
        <v>0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7">
        <v>1493.51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1493.51</v>
      </c>
      <c r="M51" s="2"/>
      <c r="N51" s="6">
        <f t="shared" si="27"/>
        <v>0</v>
      </c>
      <c r="O51" s="11"/>
      <c r="P51" s="7">
        <v>6713.96</v>
      </c>
      <c r="Q51" s="2"/>
      <c r="R51" s="6">
        <f t="shared" si="28"/>
        <v>0</v>
      </c>
      <c r="S51" s="2"/>
      <c r="T51" s="7">
        <v>2131.1999999999998</v>
      </c>
      <c r="U51" s="2"/>
      <c r="V51" s="6">
        <f t="shared" si="29"/>
        <v>0</v>
      </c>
      <c r="W51" s="2"/>
      <c r="X51" s="7">
        <f t="shared" si="30"/>
        <v>4582.76</v>
      </c>
      <c r="Y51" s="2"/>
      <c r="Z51" s="6">
        <f t="shared" si="31"/>
        <v>2.1503190690690692</v>
      </c>
    </row>
    <row r="52" spans="1:26" s="24" customFormat="1" hidden="1" outlineLevel="2" x14ac:dyDescent="0.3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719.1</v>
      </c>
      <c r="E52" s="2"/>
      <c r="F52" s="6">
        <f t="shared" si="24"/>
        <v>0</v>
      </c>
      <c r="G52" s="2"/>
      <c r="H52" s="7">
        <v>38.1</v>
      </c>
      <c r="I52" s="2"/>
      <c r="J52" s="6">
        <f t="shared" si="25"/>
        <v>0</v>
      </c>
      <c r="K52" s="2"/>
      <c r="L52" s="7">
        <f t="shared" si="26"/>
        <v>681</v>
      </c>
      <c r="M52" s="2"/>
      <c r="N52" s="6">
        <f t="shared" si="27"/>
        <v>17.874015748031496</v>
      </c>
      <c r="O52" s="11"/>
      <c r="P52" s="7">
        <v>8921.36</v>
      </c>
      <c r="Q52" s="2"/>
      <c r="R52" s="6">
        <f t="shared" si="28"/>
        <v>0</v>
      </c>
      <c r="S52" s="2"/>
      <c r="T52" s="7">
        <v>814.03</v>
      </c>
      <c r="U52" s="2"/>
      <c r="V52" s="6">
        <f t="shared" si="29"/>
        <v>0</v>
      </c>
      <c r="W52" s="2"/>
      <c r="X52" s="7">
        <f t="shared" si="30"/>
        <v>8107.3300000000008</v>
      </c>
      <c r="Y52" s="2"/>
      <c r="Z52" s="6">
        <f t="shared" si="31"/>
        <v>9.9594978072061231</v>
      </c>
    </row>
    <row r="53" spans="1:26" s="29" customFormat="1" outlineLevel="1" collapsed="1" x14ac:dyDescent="0.3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670.1</v>
      </c>
      <c r="E53" s="1"/>
      <c r="F53" s="5">
        <f t="shared" ref="F53:F56" si="32">IF(D$12=0,0,D53/D$12)</f>
        <v>0</v>
      </c>
      <c r="G53" s="1"/>
      <c r="H53" s="1">
        <f>SUM(OSRRefH22_10x_0)</f>
        <v>4880.26</v>
      </c>
      <c r="I53" s="1"/>
      <c r="J53" s="5">
        <f t="shared" ref="J53:J56" si="33">IF(H$12=0,0,H53/H$12)</f>
        <v>0</v>
      </c>
      <c r="K53" s="1"/>
      <c r="L53" s="1">
        <f t="shared" ref="L53:L56" si="34">+D53-H53</f>
        <v>-4210.16</v>
      </c>
      <c r="M53" s="1"/>
      <c r="N53" s="5">
        <f t="shared" ref="N53:N56" si="35">IF(H53=0,0,L53/H53)</f>
        <v>-0.86269174183342678</v>
      </c>
      <c r="O53" s="14"/>
      <c r="P53" s="1">
        <f>SUM(OSRRefP22_10x_0)</f>
        <v>8365.02</v>
      </c>
      <c r="Q53" s="1"/>
      <c r="R53" s="5">
        <f t="shared" ref="R53:R56" si="36">IF(P$12=0,0,P53/P$12)</f>
        <v>0</v>
      </c>
      <c r="S53" s="1"/>
      <c r="T53" s="1">
        <f>SUM(OSRRefT22_10x_0)</f>
        <v>20147.3</v>
      </c>
      <c r="U53" s="1"/>
      <c r="V53" s="5">
        <f t="shared" ref="V53:V56" si="37">IF(T$12=0,0,T53/T$12)</f>
        <v>0</v>
      </c>
      <c r="W53" s="1"/>
      <c r="X53" s="1">
        <f t="shared" ref="X53:X56" si="38">+P53-T53</f>
        <v>-11782.279999999999</v>
      </c>
      <c r="Y53" s="1"/>
      <c r="Z53" s="5">
        <f t="shared" ref="Z53:Z56" si="39">IF(T53=0,0,X53/T53)</f>
        <v>-0.58480689720210643</v>
      </c>
    </row>
    <row r="54" spans="1:26" s="24" customFormat="1" hidden="1" outlineLevel="2" x14ac:dyDescent="0.3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670.1</v>
      </c>
      <c r="E54" s="2"/>
      <c r="F54" s="6">
        <f t="shared" si="32"/>
        <v>0</v>
      </c>
      <c r="G54" s="2"/>
      <c r="H54" s="7">
        <v>626.26</v>
      </c>
      <c r="I54" s="2"/>
      <c r="J54" s="6">
        <f t="shared" si="33"/>
        <v>0</v>
      </c>
      <c r="K54" s="2"/>
      <c r="L54" s="7">
        <f t="shared" si="34"/>
        <v>43.840000000000032</v>
      </c>
      <c r="M54" s="2"/>
      <c r="N54" s="6">
        <f t="shared" si="35"/>
        <v>7.0002874205601556E-2</v>
      </c>
      <c r="O54" s="11"/>
      <c r="P54" s="7">
        <v>4690.7</v>
      </c>
      <c r="Q54" s="2"/>
      <c r="R54" s="6">
        <f t="shared" si="36"/>
        <v>0</v>
      </c>
      <c r="S54" s="2"/>
      <c r="T54" s="7">
        <v>3131.3</v>
      </c>
      <c r="U54" s="2"/>
      <c r="V54" s="6">
        <f t="shared" si="37"/>
        <v>0</v>
      </c>
      <c r="W54" s="2"/>
      <c r="X54" s="7">
        <f t="shared" si="38"/>
        <v>1559.3999999999996</v>
      </c>
      <c r="Y54" s="2"/>
      <c r="Z54" s="6">
        <f t="shared" si="39"/>
        <v>0.49800402388784198</v>
      </c>
    </row>
    <row r="55" spans="1:26" s="24" customFormat="1" hidden="1" outlineLevel="2" x14ac:dyDescent="0.3">
      <c r="A55" s="27"/>
      <c r="B55" s="11" t="str">
        <f>CONCATENATE("          ", "6284", " - ", "TRASH REMOVAL EXPENSE")</f>
        <v xml:space="preserve">          6284 - TRASH REMOVAL EXPENSE</v>
      </c>
      <c r="C55" s="11"/>
      <c r="D55" s="7"/>
      <c r="E55" s="2"/>
      <c r="F55" s="6">
        <f t="shared" si="32"/>
        <v>0</v>
      </c>
      <c r="G55" s="2"/>
      <c r="H55" s="7">
        <v>4254</v>
      </c>
      <c r="I55" s="2"/>
      <c r="J55" s="6">
        <f t="shared" si="33"/>
        <v>0</v>
      </c>
      <c r="K55" s="2"/>
      <c r="L55" s="7">
        <f t="shared" si="34"/>
        <v>-4254</v>
      </c>
      <c r="M55" s="2"/>
      <c r="N55" s="6">
        <f t="shared" si="35"/>
        <v>-1</v>
      </c>
      <c r="O55" s="11"/>
      <c r="P55" s="7"/>
      <c r="Q55" s="2"/>
      <c r="R55" s="6">
        <f t="shared" si="36"/>
        <v>0</v>
      </c>
      <c r="S55" s="2"/>
      <c r="T55" s="7">
        <v>17016</v>
      </c>
      <c r="U55" s="2"/>
      <c r="V55" s="6">
        <f t="shared" si="37"/>
        <v>0</v>
      </c>
      <c r="W55" s="2"/>
      <c r="X55" s="7">
        <f t="shared" si="38"/>
        <v>-17016</v>
      </c>
      <c r="Y55" s="2"/>
      <c r="Z55" s="6">
        <f t="shared" si="39"/>
        <v>-1</v>
      </c>
    </row>
    <row r="56" spans="1:26" s="24" customFormat="1" hidden="1" outlineLevel="2" x14ac:dyDescent="0.3">
      <c r="A56" s="27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>
        <v>3674.32</v>
      </c>
      <c r="Q56" s="2"/>
      <c r="R56" s="6">
        <f t="shared" si="36"/>
        <v>0</v>
      </c>
      <c r="S56" s="2"/>
      <c r="T56" s="7"/>
      <c r="U56" s="2"/>
      <c r="V56" s="6">
        <f t="shared" si="37"/>
        <v>0</v>
      </c>
      <c r="W56" s="2"/>
      <c r="X56" s="7">
        <f t="shared" si="38"/>
        <v>3674.32</v>
      </c>
      <c r="Y56" s="2"/>
      <c r="Z56" s="6">
        <f t="shared" si="39"/>
        <v>0</v>
      </c>
    </row>
    <row r="57" spans="1:26" s="29" customFormat="1" outlineLevel="1" collapsed="1" x14ac:dyDescent="0.3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327.19</v>
      </c>
      <c r="E57" s="1"/>
      <c r="F57" s="5">
        <f t="shared" ref="F57:F59" si="40">IF(D$12=0,0,D57/D$12)</f>
        <v>0</v>
      </c>
      <c r="G57" s="1"/>
      <c r="H57" s="1">
        <f>SUM(OSRRefH22_11x_0)</f>
        <v>0</v>
      </c>
      <c r="I57" s="1"/>
      <c r="J57" s="5">
        <f t="shared" ref="J57:J59" si="41">IF(H$12=0,0,H57/H$12)</f>
        <v>0</v>
      </c>
      <c r="K57" s="1"/>
      <c r="L57" s="1">
        <f t="shared" ref="L57:L59" si="42">+D57-H57</f>
        <v>327.19</v>
      </c>
      <c r="M57" s="1"/>
      <c r="N57" s="5">
        <f t="shared" ref="N57:N59" si="43">IF(H57=0,0,L57/H57)</f>
        <v>0</v>
      </c>
      <c r="O57" s="14"/>
      <c r="P57" s="1">
        <f>SUM(OSRRefP22_11x_0)</f>
        <v>487.35</v>
      </c>
      <c r="Q57" s="1"/>
      <c r="R57" s="5">
        <f t="shared" ref="R57:R59" si="44">IF(P$12=0,0,P57/P$12)</f>
        <v>0</v>
      </c>
      <c r="S57" s="1"/>
      <c r="T57" s="1">
        <f>SUM(OSRRefT22_11x_0)</f>
        <v>-29072.880000000001</v>
      </c>
      <c r="U57" s="1"/>
      <c r="V57" s="5">
        <f t="shared" ref="V57:V59" si="45">IF(T$12=0,0,T57/T$12)</f>
        <v>0</v>
      </c>
      <c r="W57" s="1"/>
      <c r="X57" s="1">
        <f t="shared" ref="X57:X59" si="46">+P57-T57</f>
        <v>29560.23</v>
      </c>
      <c r="Y57" s="1"/>
      <c r="Z57" s="5">
        <f t="shared" ref="Z57:Z59" si="47">IF(T57=0,0,X57/T57)</f>
        <v>-1.01676304514723</v>
      </c>
    </row>
    <row r="58" spans="1:26" s="24" customFormat="1" hidden="1" outlineLevel="2" x14ac:dyDescent="0.3">
      <c r="A58" s="27"/>
      <c r="B58" s="11" t="str">
        <f>CONCATENATE("          ", "6235", " - ", "COVID-19 EXPENSES")</f>
        <v xml:space="preserve">          6235 - COVID-19 EXPENSES</v>
      </c>
      <c r="C58" s="11"/>
      <c r="D58" s="7">
        <v>318.42</v>
      </c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318.42</v>
      </c>
      <c r="M58" s="2"/>
      <c r="N58" s="6">
        <f t="shared" si="43"/>
        <v>0</v>
      </c>
      <c r="O58" s="11"/>
      <c r="P58" s="7">
        <v>318.42</v>
      </c>
      <c r="Q58" s="2"/>
      <c r="R58" s="6">
        <f t="shared" si="44"/>
        <v>0</v>
      </c>
      <c r="S58" s="2"/>
      <c r="T58" s="7">
        <v>127.89</v>
      </c>
      <c r="U58" s="2"/>
      <c r="V58" s="6">
        <f t="shared" si="45"/>
        <v>0</v>
      </c>
      <c r="W58" s="2"/>
      <c r="X58" s="7">
        <f t="shared" si="46"/>
        <v>190.53000000000003</v>
      </c>
      <c r="Y58" s="2"/>
      <c r="Z58" s="6">
        <f t="shared" si="47"/>
        <v>1.4897959183673473</v>
      </c>
    </row>
    <row r="59" spans="1:26" s="24" customFormat="1" hidden="1" outlineLevel="2" x14ac:dyDescent="0.3">
      <c r="A59" s="27"/>
      <c r="B59" s="11" t="str">
        <f>CONCATENATE("          ", "6241", " - ", "OFFICE EXPENSE")</f>
        <v xml:space="preserve">          6241 - OFFICE EXPENSE</v>
      </c>
      <c r="C59" s="11"/>
      <c r="D59" s="7">
        <v>8.77</v>
      </c>
      <c r="E59" s="2"/>
      <c r="F59" s="6">
        <f t="shared" si="40"/>
        <v>0</v>
      </c>
      <c r="G59" s="2"/>
      <c r="H59" s="7"/>
      <c r="I59" s="2"/>
      <c r="J59" s="6">
        <f t="shared" si="41"/>
        <v>0</v>
      </c>
      <c r="K59" s="2"/>
      <c r="L59" s="7">
        <f t="shared" si="42"/>
        <v>8.77</v>
      </c>
      <c r="M59" s="2"/>
      <c r="N59" s="6">
        <f t="shared" si="43"/>
        <v>0</v>
      </c>
      <c r="O59" s="11"/>
      <c r="P59" s="7">
        <v>168.93</v>
      </c>
      <c r="Q59" s="2"/>
      <c r="R59" s="6">
        <f t="shared" si="44"/>
        <v>0</v>
      </c>
      <c r="S59" s="2"/>
      <c r="T59" s="7">
        <v>-29200.77</v>
      </c>
      <c r="U59" s="2"/>
      <c r="V59" s="6">
        <f t="shared" si="45"/>
        <v>0</v>
      </c>
      <c r="W59" s="2"/>
      <c r="X59" s="7">
        <f t="shared" si="46"/>
        <v>29369.7</v>
      </c>
      <c r="Y59" s="2"/>
      <c r="Z59" s="6">
        <f t="shared" si="47"/>
        <v>-1.0057851214197433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186.9</v>
      </c>
      <c r="E60" s="1"/>
      <c r="F60" s="5">
        <f t="shared" ref="F60:F64" si="48">IF(D$12=0,0,D60/D$12)</f>
        <v>0</v>
      </c>
      <c r="G60" s="1"/>
      <c r="H60" s="1">
        <f>SUM(OSRRefH22_12x_0)</f>
        <v>93</v>
      </c>
      <c r="I60" s="1"/>
      <c r="J60" s="5">
        <f t="shared" ref="J60:J64" si="49">IF(H$12=0,0,H60/H$12)</f>
        <v>0</v>
      </c>
      <c r="K60" s="1"/>
      <c r="L60" s="1">
        <f t="shared" ref="L60:L64" si="50">+D60-H60</f>
        <v>93.9</v>
      </c>
      <c r="M60" s="1"/>
      <c r="N60" s="5">
        <f t="shared" ref="N60:N64" si="51">IF(H60=0,0,L60/H60)</f>
        <v>1.0096774193548388</v>
      </c>
      <c r="O60" s="14"/>
      <c r="P60" s="1">
        <f>SUM(OSRRefP22_12x_0)</f>
        <v>1350.81</v>
      </c>
      <c r="Q60" s="1"/>
      <c r="R60" s="5">
        <f t="shared" ref="R60:R64" si="52">IF(P$12=0,0,P60/P$12)</f>
        <v>0</v>
      </c>
      <c r="S60" s="1"/>
      <c r="T60" s="1">
        <f>SUM(OSRRefT22_12x_0)</f>
        <v>1479.53</v>
      </c>
      <c r="U60" s="1"/>
      <c r="V60" s="5">
        <f t="shared" ref="V60:V64" si="53">IF(T$12=0,0,T60/T$12)</f>
        <v>0</v>
      </c>
      <c r="W60" s="1"/>
      <c r="X60" s="1">
        <f t="shared" ref="X60:X64" si="54">+P60-T60</f>
        <v>-128.72000000000003</v>
      </c>
      <c r="Y60" s="1"/>
      <c r="Z60" s="5">
        <f t="shared" ref="Z60:Z64" si="55">IF(T60=0,0,X60/T60)</f>
        <v>-8.700060154238172E-2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7">
        <v>186.9</v>
      </c>
      <c r="E61" s="2"/>
      <c r="F61" s="6">
        <f t="shared" si="48"/>
        <v>0</v>
      </c>
      <c r="G61" s="2"/>
      <c r="H61" s="7">
        <v>93</v>
      </c>
      <c r="I61" s="2"/>
      <c r="J61" s="6">
        <f t="shared" si="49"/>
        <v>0</v>
      </c>
      <c r="K61" s="2"/>
      <c r="L61" s="7">
        <f t="shared" si="50"/>
        <v>93.9</v>
      </c>
      <c r="M61" s="2"/>
      <c r="N61" s="6">
        <f t="shared" si="51"/>
        <v>1.0096774193548388</v>
      </c>
      <c r="O61" s="11"/>
      <c r="P61" s="7">
        <v>1350.81</v>
      </c>
      <c r="Q61" s="2"/>
      <c r="R61" s="6">
        <f t="shared" si="52"/>
        <v>0</v>
      </c>
      <c r="S61" s="2"/>
      <c r="T61" s="7">
        <v>1479.53</v>
      </c>
      <c r="U61" s="2"/>
      <c r="V61" s="6">
        <f t="shared" si="53"/>
        <v>0</v>
      </c>
      <c r="W61" s="2"/>
      <c r="X61" s="7">
        <f t="shared" si="54"/>
        <v>-128.72000000000003</v>
      </c>
      <c r="Y61" s="2"/>
      <c r="Z61" s="6">
        <f t="shared" si="55"/>
        <v>-8.700060154238172E-2</v>
      </c>
    </row>
    <row r="62" spans="1:26" s="29" customFormat="1" outlineLevel="1" collapsed="1" x14ac:dyDescent="0.3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SUM(OSRRefD22_13x_0)</f>
        <v>0</v>
      </c>
      <c r="E62" s="1"/>
      <c r="F62" s="5">
        <f t="shared" si="48"/>
        <v>0</v>
      </c>
      <c r="G62" s="1"/>
      <c r="H62" s="1">
        <f>SUM(OSRRefH22_13x_0)</f>
        <v>0</v>
      </c>
      <c r="I62" s="1"/>
      <c r="J62" s="5">
        <f t="shared" si="49"/>
        <v>0</v>
      </c>
      <c r="K62" s="1"/>
      <c r="L62" s="1">
        <f t="shared" si="50"/>
        <v>0</v>
      </c>
      <c r="M62" s="1"/>
      <c r="N62" s="5">
        <f t="shared" si="51"/>
        <v>0</v>
      </c>
      <c r="O62" s="14"/>
      <c r="P62" s="1">
        <f>SUM(OSRRefP22_13x_0)</f>
        <v>18.59</v>
      </c>
      <c r="Q62" s="1"/>
      <c r="R62" s="5">
        <f t="shared" si="52"/>
        <v>0</v>
      </c>
      <c r="S62" s="1"/>
      <c r="T62" s="1">
        <f>SUM(OSRRefT22_13x_0)</f>
        <v>332.21</v>
      </c>
      <c r="U62" s="1"/>
      <c r="V62" s="5">
        <f t="shared" si="53"/>
        <v>0</v>
      </c>
      <c r="W62" s="1"/>
      <c r="X62" s="1">
        <f t="shared" si="54"/>
        <v>-313.62</v>
      </c>
      <c r="Y62" s="1"/>
      <c r="Z62" s="5">
        <f t="shared" si="55"/>
        <v>-0.94404141958399812</v>
      </c>
    </row>
    <row r="63" spans="1:26" s="24" customFormat="1" hidden="1" outlineLevel="2" x14ac:dyDescent="0.3">
      <c r="A63" s="27"/>
      <c r="B63" s="11" t="str">
        <f>CONCATENATE("          ", "6292", " - ", "TRAVEL/CONFERENCE")</f>
        <v xml:space="preserve">          6292 - TRAVEL/CONFERENCE</v>
      </c>
      <c r="C63" s="11"/>
      <c r="D63" s="7"/>
      <c r="E63" s="2"/>
      <c r="F63" s="6">
        <f t="shared" si="48"/>
        <v>0</v>
      </c>
      <c r="G63" s="2"/>
      <c r="H63" s="7"/>
      <c r="I63" s="2"/>
      <c r="J63" s="6">
        <f t="shared" si="49"/>
        <v>0</v>
      </c>
      <c r="K63" s="2"/>
      <c r="L63" s="7">
        <f t="shared" si="50"/>
        <v>0</v>
      </c>
      <c r="M63" s="2"/>
      <c r="N63" s="6">
        <f t="shared" si="51"/>
        <v>0</v>
      </c>
      <c r="O63" s="11"/>
      <c r="P63" s="7">
        <v>18.59</v>
      </c>
      <c r="Q63" s="2"/>
      <c r="R63" s="6">
        <f t="shared" si="52"/>
        <v>0</v>
      </c>
      <c r="S63" s="2"/>
      <c r="T63" s="7"/>
      <c r="U63" s="2"/>
      <c r="V63" s="6">
        <f t="shared" si="53"/>
        <v>0</v>
      </c>
      <c r="W63" s="2"/>
      <c r="X63" s="7">
        <f t="shared" si="54"/>
        <v>18.59</v>
      </c>
      <c r="Y63" s="2"/>
      <c r="Z63" s="6">
        <f t="shared" si="55"/>
        <v>0</v>
      </c>
    </row>
    <row r="64" spans="1:26" s="24" customFormat="1" hidden="1" outlineLevel="2" x14ac:dyDescent="0.3">
      <c r="A64" s="27"/>
      <c r="B64" s="11" t="str">
        <f>CONCATENATE("          ", "6298", " - ", "VEHICLE MILEAGE")</f>
        <v xml:space="preserve">          6298 - VEHICLE MILEAGE</v>
      </c>
      <c r="C64" s="11"/>
      <c r="D64" s="7"/>
      <c r="E64" s="2"/>
      <c r="F64" s="6">
        <f t="shared" si="48"/>
        <v>0</v>
      </c>
      <c r="G64" s="2"/>
      <c r="H64" s="7"/>
      <c r="I64" s="2"/>
      <c r="J64" s="6">
        <f t="shared" si="49"/>
        <v>0</v>
      </c>
      <c r="K64" s="2"/>
      <c r="L64" s="7">
        <f t="shared" si="50"/>
        <v>0</v>
      </c>
      <c r="M64" s="2"/>
      <c r="N64" s="6">
        <f t="shared" si="51"/>
        <v>0</v>
      </c>
      <c r="O64" s="11"/>
      <c r="P64" s="7"/>
      <c r="Q64" s="2"/>
      <c r="R64" s="6">
        <f t="shared" si="52"/>
        <v>0</v>
      </c>
      <c r="S64" s="2"/>
      <c r="T64" s="7">
        <v>332.21</v>
      </c>
      <c r="U64" s="2"/>
      <c r="V64" s="6">
        <f t="shared" si="53"/>
        <v>0</v>
      </c>
      <c r="W64" s="2"/>
      <c r="X64" s="7">
        <f t="shared" si="54"/>
        <v>-332.21</v>
      </c>
      <c r="Y64" s="2"/>
      <c r="Z64" s="6">
        <f t="shared" si="55"/>
        <v>-1</v>
      </c>
    </row>
    <row r="65" spans="1:26" s="29" customFormat="1" outlineLevel="1" collapsed="1" x14ac:dyDescent="0.3">
      <c r="A65" s="28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SUM(OSRRefD22_14x_0)</f>
        <v>5550</v>
      </c>
      <c r="E65" s="1"/>
      <c r="F65" s="5">
        <f t="shared" ref="F65:F66" si="56">IF(D$12=0,0,D65/D$12)</f>
        <v>0</v>
      </c>
      <c r="G65" s="1"/>
      <c r="H65" s="1">
        <f>SUM(OSRRefH22_14x_0)</f>
        <v>1000</v>
      </c>
      <c r="I65" s="1"/>
      <c r="J65" s="5">
        <f t="shared" ref="J65:J66" si="57">IF(H$12=0,0,H65/H$12)</f>
        <v>0</v>
      </c>
      <c r="K65" s="1"/>
      <c r="L65" s="1">
        <f t="shared" ref="L65:L66" si="58">+D65-H65</f>
        <v>4550</v>
      </c>
      <c r="M65" s="1"/>
      <c r="N65" s="5">
        <f t="shared" ref="N65:N66" si="59">IF(H65=0,0,L65/H65)</f>
        <v>4.55</v>
      </c>
      <c r="O65" s="14"/>
      <c r="P65" s="1">
        <f>SUM(OSRRefP22_14x_0)</f>
        <v>38850</v>
      </c>
      <c r="Q65" s="1"/>
      <c r="R65" s="5">
        <f t="shared" ref="R65:R66" si="60">IF(P$12=0,0,P65/P$12)</f>
        <v>0</v>
      </c>
      <c r="S65" s="1"/>
      <c r="T65" s="1">
        <f>SUM(OSRRefT22_14x_0)</f>
        <v>-12876</v>
      </c>
      <c r="U65" s="1"/>
      <c r="V65" s="5">
        <f t="shared" ref="V65:V66" si="61">IF(T$12=0,0,T65/T$12)</f>
        <v>0</v>
      </c>
      <c r="W65" s="1"/>
      <c r="X65" s="1">
        <f t="shared" ref="X65:X66" si="62">+P65-T65</f>
        <v>51726</v>
      </c>
      <c r="Y65" s="1"/>
      <c r="Z65" s="5">
        <f t="shared" ref="Z65:Z66" si="63">IF(T65=0,0,X65/T65)</f>
        <v>-4.0172413793103452</v>
      </c>
    </row>
    <row r="66" spans="1:26" s="24" customFormat="1" hidden="1" outlineLevel="2" x14ac:dyDescent="0.3">
      <c r="A66" s="27"/>
      <c r="B66" s="11" t="str">
        <f>CONCATENATE("          ", "6274", " - ", "UTILITIES")</f>
        <v xml:space="preserve">          6274 - UTILITIES</v>
      </c>
      <c r="C66" s="11"/>
      <c r="D66" s="7">
        <v>5550</v>
      </c>
      <c r="E66" s="2"/>
      <c r="F66" s="6">
        <f t="shared" si="56"/>
        <v>0</v>
      </c>
      <c r="G66" s="2"/>
      <c r="H66" s="7">
        <v>1000</v>
      </c>
      <c r="I66" s="2"/>
      <c r="J66" s="6">
        <f t="shared" si="57"/>
        <v>0</v>
      </c>
      <c r="K66" s="2"/>
      <c r="L66" s="7">
        <f t="shared" si="58"/>
        <v>4550</v>
      </c>
      <c r="M66" s="2"/>
      <c r="N66" s="6">
        <f t="shared" si="59"/>
        <v>4.55</v>
      </c>
      <c r="O66" s="11"/>
      <c r="P66" s="7">
        <v>38850</v>
      </c>
      <c r="Q66" s="2"/>
      <c r="R66" s="6">
        <f t="shared" si="60"/>
        <v>0</v>
      </c>
      <c r="S66" s="2"/>
      <c r="T66" s="7">
        <v>-12876</v>
      </c>
      <c r="U66" s="2"/>
      <c r="V66" s="6">
        <f t="shared" si="61"/>
        <v>0</v>
      </c>
      <c r="W66" s="2"/>
      <c r="X66" s="7">
        <f t="shared" si="62"/>
        <v>51726</v>
      </c>
      <c r="Y66" s="2"/>
      <c r="Z66" s="6">
        <f t="shared" si="63"/>
        <v>-4.0172413793103452</v>
      </c>
    </row>
    <row r="67" spans="1:26" s="52" customFormat="1" x14ac:dyDescent="0.3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6" t="s">
        <v>292</v>
      </c>
      <c r="C68" s="10"/>
      <c r="D68" s="4">
        <f>SUM(OSRRefD25x_0)</f>
        <v>287.27</v>
      </c>
      <c r="E68" s="4"/>
      <c r="F68" s="12">
        <f t="shared" ref="F68:F70" si="64">IF(D$12=0,0,D68/D$12)</f>
        <v>0</v>
      </c>
      <c r="G68" s="4"/>
      <c r="H68" s="4">
        <f>SUM(OSRRefH25x_0)</f>
        <v>189.92</v>
      </c>
      <c r="I68" s="4"/>
      <c r="J68" s="12">
        <f t="shared" ref="J68:J70" si="65">IF(H$12=0,0,H68/H$12)</f>
        <v>0</v>
      </c>
      <c r="K68" s="4"/>
      <c r="L68" s="4">
        <f t="shared" ref="L68:L70" si="66">+D68-H68</f>
        <v>97.35</v>
      </c>
      <c r="M68" s="4"/>
      <c r="N68" s="12">
        <f t="shared" ref="N68:N70" si="67">IF(H68=0,0,L68/H68)</f>
        <v>0.51258424599831509</v>
      </c>
      <c r="O68" s="10"/>
      <c r="P68" s="4">
        <f>SUM(OSRRefP25x_0)</f>
        <v>14577.17</v>
      </c>
      <c r="Q68" s="4"/>
      <c r="R68" s="12">
        <f t="shared" ref="R68:R70" si="68">IF(P$12=0,0,P68/P$12)</f>
        <v>0</v>
      </c>
      <c r="S68" s="4"/>
      <c r="T68" s="4">
        <f>SUM(OSRRefT25x_0)</f>
        <v>2432.98</v>
      </c>
      <c r="U68" s="4"/>
      <c r="V68" s="12">
        <f t="shared" ref="V68:V70" si="69">IF(T$12=0,0,T68/T$12)</f>
        <v>0</v>
      </c>
      <c r="W68" s="4"/>
      <c r="X68" s="4">
        <f t="shared" ref="X68:X70" si="70">+P68-T68</f>
        <v>12144.19</v>
      </c>
      <c r="Y68" s="4"/>
      <c r="Z68" s="12">
        <f t="shared" ref="Z68:Z70" si="71">IF(T68=0,0,X68/T68)</f>
        <v>4.9914878050785454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>--287.27</f>
        <v>287.27</v>
      </c>
      <c r="E69" s="2"/>
      <c r="F69" s="19">
        <f t="shared" si="64"/>
        <v>0</v>
      </c>
      <c r="G69" s="2"/>
      <c r="H69" s="2">
        <f>0</f>
        <v>0</v>
      </c>
      <c r="I69" s="2"/>
      <c r="J69" s="19">
        <f t="shared" si="65"/>
        <v>0</v>
      </c>
      <c r="K69" s="2"/>
      <c r="L69" s="2">
        <f t="shared" si="66"/>
        <v>287.27</v>
      </c>
      <c r="M69" s="2"/>
      <c r="N69" s="19">
        <f t="shared" si="67"/>
        <v>0</v>
      </c>
      <c r="O69" s="11"/>
      <c r="P69" s="2">
        <f>--14577.17</f>
        <v>14577.17</v>
      </c>
      <c r="Q69" s="2"/>
      <c r="R69" s="19">
        <f t="shared" si="68"/>
        <v>0</v>
      </c>
      <c r="S69" s="2"/>
      <c r="T69" s="2">
        <f>--1616.63</f>
        <v>1616.63</v>
      </c>
      <c r="U69" s="2"/>
      <c r="V69" s="19">
        <f t="shared" si="69"/>
        <v>0</v>
      </c>
      <c r="W69" s="2"/>
      <c r="X69" s="2">
        <f t="shared" si="70"/>
        <v>12960.54</v>
      </c>
      <c r="Y69" s="2"/>
      <c r="Z69" s="19">
        <f t="shared" si="71"/>
        <v>8.0170106950879294</v>
      </c>
    </row>
    <row r="70" spans="1:26" s="24" customFormat="1" hidden="1" outlineLevel="1" x14ac:dyDescent="0.3">
      <c r="A70" s="44"/>
      <c r="B70" s="11" t="str">
        <f>CONCATENATE("          ", "9160", " - ", "MISC. INCOME")</f>
        <v xml:space="preserve">          9160 - MISC. INCOME</v>
      </c>
      <c r="C70" s="11"/>
      <c r="D70" s="2">
        <f>0</f>
        <v>0</v>
      </c>
      <c r="E70" s="2"/>
      <c r="F70" s="19">
        <f t="shared" si="64"/>
        <v>0</v>
      </c>
      <c r="G70" s="2"/>
      <c r="H70" s="2">
        <f>--189.92</f>
        <v>189.92</v>
      </c>
      <c r="I70" s="2"/>
      <c r="J70" s="19">
        <f t="shared" si="65"/>
        <v>0</v>
      </c>
      <c r="K70" s="2"/>
      <c r="L70" s="2">
        <f t="shared" si="66"/>
        <v>-189.92</v>
      </c>
      <c r="M70" s="2"/>
      <c r="N70" s="19">
        <f t="shared" si="67"/>
        <v>-1</v>
      </c>
      <c r="O70" s="11"/>
      <c r="P70" s="2">
        <f>0</f>
        <v>0</v>
      </c>
      <c r="Q70" s="2"/>
      <c r="R70" s="19">
        <f t="shared" si="68"/>
        <v>0</v>
      </c>
      <c r="S70" s="2"/>
      <c r="T70" s="2">
        <f>--816.35</f>
        <v>816.35</v>
      </c>
      <c r="U70" s="2"/>
      <c r="V70" s="19">
        <f t="shared" si="69"/>
        <v>0</v>
      </c>
      <c r="W70" s="2"/>
      <c r="X70" s="2">
        <f t="shared" si="70"/>
        <v>-816.35</v>
      </c>
      <c r="Y70" s="2"/>
      <c r="Z70" s="19">
        <f t="shared" si="71"/>
        <v>-1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10"/>
      <c r="B72" s="25" t="s">
        <v>276</v>
      </c>
      <c r="C72" s="25"/>
      <c r="D72" s="21">
        <f>+D16-D18+D68</f>
        <v>-59467.989999999991</v>
      </c>
      <c r="E72" s="13"/>
      <c r="F72" s="22">
        <f>IF(D$12=0,0,D72/D$12)</f>
        <v>0</v>
      </c>
      <c r="G72" s="13"/>
      <c r="H72" s="21">
        <f>+H16-H18+H68</f>
        <v>-37266.659999999996</v>
      </c>
      <c r="I72" s="13"/>
      <c r="J72" s="22">
        <f>IF(H$12=0,0,H72/H$12)</f>
        <v>0</v>
      </c>
      <c r="K72" s="15"/>
      <c r="L72" s="21">
        <f>+D72-H72</f>
        <v>-22201.329999999994</v>
      </c>
      <c r="M72" s="15"/>
      <c r="N72" s="22">
        <f>IF(H72=0,0,L72/H72)</f>
        <v>0.59574241426519026</v>
      </c>
      <c r="O72" s="26"/>
      <c r="P72" s="21">
        <f>+P16-P18+P68</f>
        <v>-340363.77000000008</v>
      </c>
      <c r="Q72" s="13"/>
      <c r="R72" s="22">
        <f>IF(P$12=0,0,P72/P$12)</f>
        <v>0</v>
      </c>
      <c r="S72" s="13"/>
      <c r="T72" s="21">
        <f>+T16-T18+T68</f>
        <v>-187419.86000000004</v>
      </c>
      <c r="U72" s="13"/>
      <c r="V72" s="22">
        <f>IF(T$12=0,0,T72/T$12)</f>
        <v>0</v>
      </c>
      <c r="W72" s="15"/>
      <c r="X72" s="21">
        <f>+P72-T72</f>
        <v>-152943.91000000003</v>
      </c>
      <c r="Y72" s="15"/>
      <c r="Z72" s="22">
        <f>IF(T72=0,0,X72/T72)</f>
        <v>0.81604964383176892</v>
      </c>
    </row>
    <row r="73" spans="1:26" x14ac:dyDescent="0.3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51"/>
      <c r="B74" s="10" t="s">
        <v>127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" thickBot="1" x14ac:dyDescent="0.35">
      <c r="A76" s="10"/>
      <c r="B76" s="25" t="s">
        <v>125</v>
      </c>
      <c r="C76" s="25"/>
      <c r="D76" s="36">
        <f>+D72-D74</f>
        <v>-59467.989999999991</v>
      </c>
      <c r="E76" s="13"/>
      <c r="F76" s="31">
        <f>IF(D$12=0,0,D76/D$12)</f>
        <v>0</v>
      </c>
      <c r="G76" s="13"/>
      <c r="H76" s="36">
        <f>+H72-H74</f>
        <v>-37266.659999999996</v>
      </c>
      <c r="I76" s="13"/>
      <c r="J76" s="31">
        <f>IF(H$12=0,0,H76/H$12)</f>
        <v>0</v>
      </c>
      <c r="K76" s="15"/>
      <c r="L76" s="36">
        <f>D76-H76</f>
        <v>-22201.329999999994</v>
      </c>
      <c r="M76" s="15"/>
      <c r="N76" s="31">
        <f>IF(H76=0,0,L76/H76)</f>
        <v>0.59574241426519026</v>
      </c>
      <c r="O76" s="26"/>
      <c r="P76" s="36">
        <f>+P72-P74</f>
        <v>-340363.77000000008</v>
      </c>
      <c r="Q76" s="13"/>
      <c r="R76" s="31">
        <f>IF(P$12=0,0,P76/P$12)</f>
        <v>0</v>
      </c>
      <c r="S76" s="13"/>
      <c r="T76" s="36">
        <f>+T72-T74</f>
        <v>-187419.86000000004</v>
      </c>
      <c r="U76" s="13"/>
      <c r="V76" s="31">
        <f>IF(T$12=0,0,T76/T$12)</f>
        <v>0</v>
      </c>
      <c r="W76" s="15"/>
      <c r="X76" s="36">
        <f>P76-T76</f>
        <v>-152943.91000000003</v>
      </c>
      <c r="Y76" s="15"/>
      <c r="Z76" s="31">
        <f>IF(T76=0,0,X76/T76)</f>
        <v>0.81604964383176892</v>
      </c>
    </row>
    <row r="77" spans="1:26" ht="15" thickTop="1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5" t="s">
        <v>293</v>
      </c>
      <c r="C79" s="25"/>
      <c r="D79" s="35">
        <f>SUM(D76:D78)</f>
        <v>-59467.989999999991</v>
      </c>
      <c r="E79" s="13"/>
      <c r="F79" s="32">
        <f>IF(D$12=0,0,D79/D$12)</f>
        <v>0</v>
      </c>
      <c r="G79" s="13"/>
      <c r="H79" s="35">
        <f>SUM(H76:H78)</f>
        <v>-37266.659999999996</v>
      </c>
      <c r="I79" s="13"/>
      <c r="J79" s="32">
        <f>IF(H$12=0,0,H79/H$12)</f>
        <v>0</v>
      </c>
      <c r="K79" s="15"/>
      <c r="L79" s="35">
        <f>+D79-H79</f>
        <v>-22201.329999999994</v>
      </c>
      <c r="M79" s="15"/>
      <c r="N79" s="32">
        <f>IF(H79=0,0,L79/H79)</f>
        <v>0.59574241426519026</v>
      </c>
      <c r="O79" s="26"/>
      <c r="P79" s="35">
        <f>SUM(P76:P78)</f>
        <v>-340363.77000000008</v>
      </c>
      <c r="Q79" s="13"/>
      <c r="R79" s="32">
        <f>IF(P$12=0,0,P79/P$12)</f>
        <v>0</v>
      </c>
      <c r="S79" s="13"/>
      <c r="T79" s="35">
        <f>SUM(T76:T78)</f>
        <v>-187419.86000000004</v>
      </c>
      <c r="U79" s="13"/>
      <c r="V79" s="32">
        <f>IF(T$12=0,0,T79/T$12)</f>
        <v>0</v>
      </c>
      <c r="W79" s="15"/>
      <c r="X79" s="35">
        <f>+P79-T79</f>
        <v>-152943.91000000003</v>
      </c>
      <c r="Y79" s="15"/>
      <c r="Z79" s="32">
        <f>IF(T79=0,0,X79/T79)</f>
        <v>0.81604964383176892</v>
      </c>
    </row>
    <row r="80" spans="1:26" ht="15" thickTop="1" x14ac:dyDescent="0.3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4">
        <v>44604.028475694446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3" t="s">
        <v>56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A83" s="9"/>
      <c r="B83" s="5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","412", " - ", "Chartroom")</f>
        <v>Department 412 - Chartroom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577.36</v>
      </c>
      <c r="E18" s="20"/>
      <c r="F18" s="30">
        <f t="shared" ref="F18:F25" si="0">IF(D$12=0,0,D18/D$12)</f>
        <v>0</v>
      </c>
      <c r="G18" s="20"/>
      <c r="H18" s="20">
        <f>SUM(OSRRefH22x_0)</f>
        <v>613.36</v>
      </c>
      <c r="I18" s="20"/>
      <c r="J18" s="30">
        <f t="shared" ref="J18:J25" si="1">IF(H$12=0,0,H18/H$12)</f>
        <v>0</v>
      </c>
      <c r="K18" s="4"/>
      <c r="L18" s="20">
        <f t="shared" ref="L18:L25" si="2">+D18-H18</f>
        <v>-36</v>
      </c>
      <c r="M18" s="4"/>
      <c r="N18" s="30">
        <f t="shared" ref="N18:N25" si="3">IF(H18=0,0,L18/H18)</f>
        <v>-5.8693100299986957E-2</v>
      </c>
      <c r="O18" s="10"/>
      <c r="P18" s="20">
        <f>SUM(OSRRefP22x_0)</f>
        <v>4300.8200000000006</v>
      </c>
      <c r="Q18" s="20"/>
      <c r="R18" s="30">
        <f t="shared" ref="R18:R25" si="4">IF(P$12=0,0,P18/P$12)</f>
        <v>0</v>
      </c>
      <c r="S18" s="20"/>
      <c r="T18" s="20">
        <f>SUM(OSRRefT22x_0)</f>
        <v>6662.8899999999994</v>
      </c>
      <c r="U18" s="20"/>
      <c r="V18" s="30">
        <f t="shared" ref="V18:V25" si="5">IF(T$12=0,0,T18/T$12)</f>
        <v>0</v>
      </c>
      <c r="W18" s="4"/>
      <c r="X18" s="20">
        <f t="shared" ref="X18:X25" si="6">+P18-T18</f>
        <v>-2362.0699999999988</v>
      </c>
      <c r="Y18" s="4"/>
      <c r="Z18" s="30">
        <f t="shared" ref="Z18:Z25" si="7">IF(T18=0,0,X18/T18)</f>
        <v>-0.35451133066882373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577.36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4041.52</v>
      </c>
      <c r="Q19" s="1"/>
      <c r="R19" s="5">
        <f t="shared" si="4"/>
        <v>0</v>
      </c>
      <c r="S19" s="1"/>
      <c r="T19" s="1">
        <f>SUM(OSRRefT22_0x_0)</f>
        <v>4380.51</v>
      </c>
      <c r="U19" s="1"/>
      <c r="V19" s="5">
        <f t="shared" si="5"/>
        <v>0</v>
      </c>
      <c r="W19" s="1"/>
      <c r="X19" s="1">
        <f t="shared" si="6"/>
        <v>-338.99000000000024</v>
      </c>
      <c r="Y19" s="1"/>
      <c r="Z19" s="5">
        <f t="shared" si="7"/>
        <v>-7.7385966474223369E-2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6">
        <f t="shared" si="0"/>
        <v>0</v>
      </c>
      <c r="G20" s="2"/>
      <c r="H20" s="7">
        <v>577.36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4041.52</v>
      </c>
      <c r="Q20" s="2"/>
      <c r="R20" s="6">
        <f t="shared" si="4"/>
        <v>0</v>
      </c>
      <c r="S20" s="2"/>
      <c r="T20" s="7">
        <v>4380.51</v>
      </c>
      <c r="U20" s="2"/>
      <c r="V20" s="6">
        <f t="shared" si="5"/>
        <v>0</v>
      </c>
      <c r="W20" s="2"/>
      <c r="X20" s="7">
        <f t="shared" si="6"/>
        <v>-338.99000000000024</v>
      </c>
      <c r="Y20" s="2"/>
      <c r="Z20" s="6">
        <f t="shared" si="7"/>
        <v>-7.7385966474223369E-2</v>
      </c>
    </row>
    <row r="21" spans="1:26" s="29" customFormat="1" outlineLevel="1" collapsed="1" x14ac:dyDescent="0.3">
      <c r="A21" s="28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"6351", " - ", "EQUIPMENT RENTAL")</f>
        <v xml:space="preserve">          6351 - EQUIPMENT RENTAL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16.239999999999998</v>
      </c>
      <c r="U22" s="2"/>
      <c r="V22" s="6">
        <f t="shared" si="5"/>
        <v>0</v>
      </c>
      <c r="W22" s="2"/>
      <c r="X22" s="7">
        <f t="shared" si="6"/>
        <v>-16.239999999999998</v>
      </c>
      <c r="Y22" s="2"/>
      <c r="Z22" s="6">
        <f t="shared" si="7"/>
        <v>-1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123.7</v>
      </c>
      <c r="Q23" s="1"/>
      <c r="R23" s="5">
        <f t="shared" si="4"/>
        <v>0</v>
      </c>
      <c r="S23" s="1"/>
      <c r="T23" s="1">
        <f>SUM(OSRRefT22_2x_0)</f>
        <v>1616.5300000000002</v>
      </c>
      <c r="U23" s="1"/>
      <c r="V23" s="5">
        <f t="shared" si="5"/>
        <v>0</v>
      </c>
      <c r="W23" s="1"/>
      <c r="X23" s="1">
        <f t="shared" si="6"/>
        <v>-1492.8300000000002</v>
      </c>
      <c r="Y23" s="1"/>
      <c r="Z23" s="5">
        <f t="shared" si="7"/>
        <v>-0.92347806721805348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123.7</v>
      </c>
      <c r="Q24" s="2"/>
      <c r="R24" s="6">
        <f t="shared" si="4"/>
        <v>0</v>
      </c>
      <c r="S24" s="2"/>
      <c r="T24" s="7">
        <v>278.39999999999998</v>
      </c>
      <c r="U24" s="2"/>
      <c r="V24" s="6">
        <f t="shared" si="5"/>
        <v>0</v>
      </c>
      <c r="W24" s="2"/>
      <c r="X24" s="7">
        <f t="shared" si="6"/>
        <v>-154.69999999999999</v>
      </c>
      <c r="Y24" s="2"/>
      <c r="Z24" s="6">
        <f t="shared" si="7"/>
        <v>-0.55567528735632188</v>
      </c>
    </row>
    <row r="25" spans="1:26" s="24" customFormat="1" hidden="1" outlineLevel="2" x14ac:dyDescent="0.3">
      <c r="A25" s="27"/>
      <c r="B25" s="11" t="str">
        <f>CONCATENATE("          ", "6375", " - ", "OUTSIDE REPAIRS &amp; MAINTENANCE")</f>
        <v xml:space="preserve">          6375 - OUTSIDE REPAIRS &amp; MAINTENANCE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1338.13</v>
      </c>
      <c r="U25" s="2"/>
      <c r="V25" s="6">
        <f t="shared" si="5"/>
        <v>0</v>
      </c>
      <c r="W25" s="2"/>
      <c r="X25" s="7">
        <f t="shared" si="6"/>
        <v>-1338.13</v>
      </c>
      <c r="Y25" s="2"/>
      <c r="Z25" s="6">
        <f t="shared" si="7"/>
        <v>-1</v>
      </c>
    </row>
    <row r="26" spans="1:26" s="29" customFormat="1" outlineLevel="1" collapsed="1" x14ac:dyDescent="0.3">
      <c r="A26" s="28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SUM(OSRRefD22_3x_0)</f>
        <v>0</v>
      </c>
      <c r="E26" s="1"/>
      <c r="F26" s="5">
        <f t="shared" ref="F26:F29" si="8">IF(D$12=0,0,D26/D$12)</f>
        <v>0</v>
      </c>
      <c r="G26" s="1"/>
      <c r="H26" s="1">
        <f>SUM(OSRRefH22_3x_0)</f>
        <v>0</v>
      </c>
      <c r="I26" s="1"/>
      <c r="J26" s="5">
        <f t="shared" ref="J26:J29" si="9">IF(H$12=0,0,H26/H$12)</f>
        <v>0</v>
      </c>
      <c r="K26" s="1"/>
      <c r="L26" s="1">
        <f t="shared" ref="L26:L29" si="10">+D26-H26</f>
        <v>0</v>
      </c>
      <c r="M26" s="1"/>
      <c r="N26" s="5">
        <f t="shared" ref="N26:N29" si="11">IF(H26=0,0,L26/H26)</f>
        <v>0</v>
      </c>
      <c r="O26" s="14"/>
      <c r="P26" s="1">
        <f>SUM(OSRRefP22_3x_0)</f>
        <v>0</v>
      </c>
      <c r="Q26" s="1"/>
      <c r="R26" s="5">
        <f t="shared" ref="R26:R29" si="12">IF(P$12=0,0,P26/P$12)</f>
        <v>0</v>
      </c>
      <c r="S26" s="1"/>
      <c r="T26" s="1">
        <f>SUM(OSRRefT22_3x_0)</f>
        <v>320.58</v>
      </c>
      <c r="U26" s="1"/>
      <c r="V26" s="5">
        <f t="shared" ref="V26:V29" si="13">IF(T$12=0,0,T26/T$12)</f>
        <v>0</v>
      </c>
      <c r="W26" s="1"/>
      <c r="X26" s="1">
        <f t="shared" ref="X26:X29" si="14">+P26-T26</f>
        <v>-320.58</v>
      </c>
      <c r="Y26" s="1"/>
      <c r="Z26" s="5">
        <f t="shared" ref="Z26:Z29" si="15">IF(T26=0,0,X26/T26)</f>
        <v>-1</v>
      </c>
    </row>
    <row r="27" spans="1:26" s="24" customFormat="1" hidden="1" outlineLevel="2" x14ac:dyDescent="0.3">
      <c r="A27" s="27"/>
      <c r="B27" s="11" t="str">
        <f>CONCATENATE("          ", "6286", " - ", "LAUNDRY EXPENSE")</f>
        <v xml:space="preserve">          6286 - LAUNDRY EXPENSE</v>
      </c>
      <c r="C27" s="11"/>
      <c r="D27" s="7"/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0</v>
      </c>
      <c r="M27" s="2"/>
      <c r="N27" s="6">
        <f t="shared" si="11"/>
        <v>0</v>
      </c>
      <c r="O27" s="11"/>
      <c r="P27" s="7"/>
      <c r="Q27" s="2"/>
      <c r="R27" s="6">
        <f t="shared" si="12"/>
        <v>0</v>
      </c>
      <c r="S27" s="2"/>
      <c r="T27" s="7">
        <v>320.58</v>
      </c>
      <c r="U27" s="2"/>
      <c r="V27" s="6">
        <f t="shared" si="13"/>
        <v>0</v>
      </c>
      <c r="W27" s="2"/>
      <c r="X27" s="7">
        <f t="shared" si="14"/>
        <v>-320.58</v>
      </c>
      <c r="Y27" s="2"/>
      <c r="Z27" s="6">
        <f t="shared" si="15"/>
        <v>-1</v>
      </c>
    </row>
    <row r="28" spans="1:26" s="29" customFormat="1" outlineLevel="1" collapsed="1" x14ac:dyDescent="0.3">
      <c r="A28" s="28"/>
      <c r="B28" s="14" t="str">
        <f>CONCATENATE("     ","Telephone/Data Lines                              ")</f>
        <v xml:space="preserve">     Telephone/Data Lines                              </v>
      </c>
      <c r="C28" s="14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36</v>
      </c>
      <c r="I28" s="1"/>
      <c r="J28" s="5">
        <f t="shared" si="9"/>
        <v>0</v>
      </c>
      <c r="K28" s="1"/>
      <c r="L28" s="1">
        <f t="shared" si="10"/>
        <v>-36</v>
      </c>
      <c r="M28" s="1"/>
      <c r="N28" s="5">
        <f t="shared" si="11"/>
        <v>-1</v>
      </c>
      <c r="O28" s="14"/>
      <c r="P28" s="1">
        <f>SUM(OSRRefP22_4x_0)</f>
        <v>135.6</v>
      </c>
      <c r="Q28" s="1"/>
      <c r="R28" s="5">
        <f t="shared" si="12"/>
        <v>0</v>
      </c>
      <c r="S28" s="1"/>
      <c r="T28" s="1">
        <f>SUM(OSRRefT22_4x_0)</f>
        <v>329.03</v>
      </c>
      <c r="U28" s="1"/>
      <c r="V28" s="5">
        <f t="shared" si="13"/>
        <v>0</v>
      </c>
      <c r="W28" s="1"/>
      <c r="X28" s="1">
        <f t="shared" si="14"/>
        <v>-193.42999999999998</v>
      </c>
      <c r="Y28" s="1"/>
      <c r="Z28" s="5">
        <f t="shared" si="15"/>
        <v>-0.58787952466340454</v>
      </c>
    </row>
    <row r="29" spans="1:26" s="24" customFormat="1" hidden="1" outlineLevel="2" x14ac:dyDescent="0.3">
      <c r="A29" s="27"/>
      <c r="B29" s="11" t="str">
        <f>CONCATENATE("          ", "6309", " - ", "TELEPHONE")</f>
        <v xml:space="preserve">          6309 - TELEPHONE</v>
      </c>
      <c r="C29" s="11"/>
      <c r="D29" s="7"/>
      <c r="E29" s="2"/>
      <c r="F29" s="6">
        <f t="shared" si="8"/>
        <v>0</v>
      </c>
      <c r="G29" s="2"/>
      <c r="H29" s="7">
        <v>36</v>
      </c>
      <c r="I29" s="2"/>
      <c r="J29" s="6">
        <f t="shared" si="9"/>
        <v>0</v>
      </c>
      <c r="K29" s="2"/>
      <c r="L29" s="7">
        <f t="shared" si="10"/>
        <v>-36</v>
      </c>
      <c r="M29" s="2"/>
      <c r="N29" s="6">
        <f t="shared" si="11"/>
        <v>-1</v>
      </c>
      <c r="O29" s="11"/>
      <c r="P29" s="7">
        <v>135.6</v>
      </c>
      <c r="Q29" s="2"/>
      <c r="R29" s="6">
        <f t="shared" si="12"/>
        <v>0</v>
      </c>
      <c r="S29" s="2"/>
      <c r="T29" s="7">
        <v>329.03</v>
      </c>
      <c r="U29" s="2"/>
      <c r="V29" s="6">
        <f t="shared" si="13"/>
        <v>0</v>
      </c>
      <c r="W29" s="2"/>
      <c r="X29" s="7">
        <f t="shared" si="14"/>
        <v>-193.42999999999998</v>
      </c>
      <c r="Y29" s="2"/>
      <c r="Z29" s="6">
        <f t="shared" si="15"/>
        <v>-0.58787952466340454</v>
      </c>
    </row>
    <row r="30" spans="1:26" s="52" customFormat="1" x14ac:dyDescent="0.3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6" t="s">
        <v>292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10"/>
      <c r="B33" s="25" t="s">
        <v>276</v>
      </c>
      <c r="C33" s="25"/>
      <c r="D33" s="21">
        <f>+D16-D18+D31</f>
        <v>-577.36</v>
      </c>
      <c r="E33" s="13"/>
      <c r="F33" s="22">
        <f>IF(D$12=0,0,D33/D$12)</f>
        <v>0</v>
      </c>
      <c r="G33" s="13"/>
      <c r="H33" s="21">
        <f>+H16-H18+H31</f>
        <v>-613.36</v>
      </c>
      <c r="I33" s="13"/>
      <c r="J33" s="22">
        <f>IF(H$12=0,0,H33/H$12)</f>
        <v>0</v>
      </c>
      <c r="K33" s="15"/>
      <c r="L33" s="21">
        <f>+D33-H33</f>
        <v>36</v>
      </c>
      <c r="M33" s="15"/>
      <c r="N33" s="22">
        <f>IF(H33=0,0,L33/H33)</f>
        <v>-5.8693100299986957E-2</v>
      </c>
      <c r="O33" s="26"/>
      <c r="P33" s="21">
        <f>+P16-P18+P31</f>
        <v>-4300.8200000000006</v>
      </c>
      <c r="Q33" s="13"/>
      <c r="R33" s="22">
        <f>IF(P$12=0,0,P33/P$12)</f>
        <v>0</v>
      </c>
      <c r="S33" s="13"/>
      <c r="T33" s="21">
        <f>+T16-T18+T31</f>
        <v>-6662.8899999999994</v>
      </c>
      <c r="U33" s="13"/>
      <c r="V33" s="22">
        <f>IF(T$12=0,0,T33/T$12)</f>
        <v>0</v>
      </c>
      <c r="W33" s="15"/>
      <c r="X33" s="21">
        <f>+P33-T33</f>
        <v>2362.0699999999988</v>
      </c>
      <c r="Y33" s="15"/>
      <c r="Z33" s="22">
        <f>IF(T33=0,0,X33/T33)</f>
        <v>-0.35451133066882373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">
      <c r="A35" s="51"/>
      <c r="B35" s="10" t="s">
        <v>127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125</v>
      </c>
      <c r="C37" s="25"/>
      <c r="D37" s="36">
        <f>+D33-D35</f>
        <v>-577.36</v>
      </c>
      <c r="E37" s="13"/>
      <c r="F37" s="31">
        <f>IF(D$12=0,0,D37/D$12)</f>
        <v>0</v>
      </c>
      <c r="G37" s="13"/>
      <c r="H37" s="36">
        <f>+H33-H35</f>
        <v>-613.36</v>
      </c>
      <c r="I37" s="13"/>
      <c r="J37" s="31">
        <f>IF(H$12=0,0,H37/H$12)</f>
        <v>0</v>
      </c>
      <c r="K37" s="15"/>
      <c r="L37" s="36">
        <f>D37-H37</f>
        <v>36</v>
      </c>
      <c r="M37" s="15"/>
      <c r="N37" s="31">
        <f>IF(H37=0,0,L37/H37)</f>
        <v>-5.8693100299986957E-2</v>
      </c>
      <c r="O37" s="26"/>
      <c r="P37" s="36">
        <f>+P33-P35</f>
        <v>-4300.8200000000006</v>
      </c>
      <c r="Q37" s="13"/>
      <c r="R37" s="31">
        <f>IF(P$12=0,0,P37/P$12)</f>
        <v>0</v>
      </c>
      <c r="S37" s="13"/>
      <c r="T37" s="36">
        <f>+T33-T35</f>
        <v>-6662.8899999999994</v>
      </c>
      <c r="U37" s="13"/>
      <c r="V37" s="31">
        <f>IF(T$12=0,0,T37/T$12)</f>
        <v>0</v>
      </c>
      <c r="W37" s="15"/>
      <c r="X37" s="36">
        <f>P37-T37</f>
        <v>2362.0699999999988</v>
      </c>
      <c r="Y37" s="15"/>
      <c r="Z37" s="31">
        <f>IF(T37=0,0,X37/T37)</f>
        <v>-0.35451133066882373</v>
      </c>
    </row>
    <row r="38" spans="1:26" ht="15" thickTop="1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5" t="s">
        <v>293</v>
      </c>
      <c r="C40" s="25"/>
      <c r="D40" s="35">
        <f>SUM(D37:D39)</f>
        <v>-577.36</v>
      </c>
      <c r="E40" s="13"/>
      <c r="F40" s="32">
        <f>IF(D$12=0,0,D40/D$12)</f>
        <v>0</v>
      </c>
      <c r="G40" s="13"/>
      <c r="H40" s="35">
        <f>SUM(H37:H39)</f>
        <v>-613.36</v>
      </c>
      <c r="I40" s="13"/>
      <c r="J40" s="32">
        <f>IF(H$12=0,0,H40/H$12)</f>
        <v>0</v>
      </c>
      <c r="K40" s="15"/>
      <c r="L40" s="35">
        <f>+D40-H40</f>
        <v>36</v>
      </c>
      <c r="M40" s="15"/>
      <c r="N40" s="32">
        <f>IF(H40=0,0,L40/H40)</f>
        <v>-5.8693100299986957E-2</v>
      </c>
      <c r="O40" s="26"/>
      <c r="P40" s="35">
        <f>SUM(P37:P39)</f>
        <v>-4300.8200000000006</v>
      </c>
      <c r="Q40" s="13"/>
      <c r="R40" s="32">
        <f>IF(P$12=0,0,P40/P$12)</f>
        <v>0</v>
      </c>
      <c r="S40" s="13"/>
      <c r="T40" s="35">
        <f>SUM(T37:T39)</f>
        <v>-6662.8899999999994</v>
      </c>
      <c r="U40" s="13"/>
      <c r="V40" s="32">
        <f>IF(T$12=0,0,T40/T$12)</f>
        <v>0</v>
      </c>
      <c r="W40" s="15"/>
      <c r="X40" s="35">
        <f>+P40-T40</f>
        <v>2362.0699999999988</v>
      </c>
      <c r="Y40" s="15"/>
      <c r="Z40" s="32">
        <f>IF(T40=0,0,X40/T40)</f>
        <v>-0.35451133066882373</v>
      </c>
    </row>
    <row r="41" spans="1:26" ht="15" thickTop="1" x14ac:dyDescent="0.3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4">
        <v>44604.028475694446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3" t="s">
        <v>56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59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","413", " - ", "Beach Walk")</f>
        <v>Department 413 - Beach Walk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58.03</v>
      </c>
      <c r="E18" s="20"/>
      <c r="F18" s="30">
        <f t="shared" ref="F18:F24" si="0">IF(D$12=0,0,D18/D$12)</f>
        <v>0</v>
      </c>
      <c r="G18" s="20"/>
      <c r="H18" s="20">
        <f>SUM(OSRRefH22x_0)</f>
        <v>58.03</v>
      </c>
      <c r="I18" s="20"/>
      <c r="J18" s="30">
        <f t="shared" ref="J18:J24" si="1">IF(H$12=0,0,H18/H$12)</f>
        <v>0</v>
      </c>
      <c r="K18" s="4"/>
      <c r="L18" s="20">
        <f t="shared" ref="L18:L24" si="2">+D18-H18</f>
        <v>0</v>
      </c>
      <c r="M18" s="4"/>
      <c r="N18" s="30">
        <f t="shared" ref="N18:N24" si="3">IF(H18=0,0,L18/H18)</f>
        <v>0</v>
      </c>
      <c r="O18" s="10"/>
      <c r="P18" s="20">
        <f>SUM(OSRRefP22x_0)</f>
        <v>671.16</v>
      </c>
      <c r="Q18" s="20"/>
      <c r="R18" s="30">
        <f t="shared" ref="R18:R24" si="4">IF(P$12=0,0,P18/P$12)</f>
        <v>0</v>
      </c>
      <c r="S18" s="20"/>
      <c r="T18" s="20">
        <f>SUM(OSRRefT22x_0)</f>
        <v>4905.54</v>
      </c>
      <c r="U18" s="20"/>
      <c r="V18" s="30">
        <f t="shared" ref="V18:V24" si="5">IF(T$12=0,0,T18/T$12)</f>
        <v>0</v>
      </c>
      <c r="W18" s="4"/>
      <c r="X18" s="20">
        <f t="shared" ref="X18:X24" si="6">+P18-T18</f>
        <v>-4234.38</v>
      </c>
      <c r="Y18" s="4"/>
      <c r="Z18" s="30">
        <f t="shared" ref="Z18:Z24" si="7">IF(T18=0,0,X18/T18)</f>
        <v>-0.86318325811225682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191.51</v>
      </c>
      <c r="U20" s="2"/>
      <c r="V20" s="6">
        <f t="shared" si="5"/>
        <v>0</v>
      </c>
      <c r="W20" s="2"/>
      <c r="X20" s="7">
        <f t="shared" si="6"/>
        <v>-191.51</v>
      </c>
      <c r="Y20" s="2"/>
      <c r="Z20" s="6">
        <f t="shared" si="7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718.51</v>
      </c>
      <c r="U21" s="2"/>
      <c r="V21" s="6">
        <f t="shared" si="5"/>
        <v>0</v>
      </c>
      <c r="W21" s="2"/>
      <c r="X21" s="7">
        <f t="shared" si="6"/>
        <v>-718.51</v>
      </c>
      <c r="Y21" s="2"/>
      <c r="Z21" s="6">
        <f t="shared" si="7"/>
        <v>-1</v>
      </c>
    </row>
    <row r="22" spans="1:26" s="24" customFormat="1" hidden="1" outlineLevel="2" x14ac:dyDescent="0.3">
      <c r="A22" s="27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377.03</v>
      </c>
      <c r="U22" s="2"/>
      <c r="V22" s="6">
        <f t="shared" si="5"/>
        <v>0</v>
      </c>
      <c r="W22" s="2"/>
      <c r="X22" s="7">
        <f t="shared" si="6"/>
        <v>-377.03</v>
      </c>
      <c r="Y22" s="2"/>
      <c r="Z22" s="6">
        <f t="shared" si="7"/>
        <v>-1</v>
      </c>
    </row>
    <row r="23" spans="1:26" s="24" customFormat="1" hidden="1" outlineLevel="2" x14ac:dyDescent="0.3">
      <c r="A23" s="27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93.89</v>
      </c>
      <c r="U23" s="2"/>
      <c r="V23" s="6">
        <f t="shared" si="5"/>
        <v>0</v>
      </c>
      <c r="W23" s="2"/>
      <c r="X23" s="7">
        <f t="shared" si="6"/>
        <v>-93.89</v>
      </c>
      <c r="Y23" s="2"/>
      <c r="Z23" s="6">
        <f t="shared" si="7"/>
        <v>-1</v>
      </c>
    </row>
    <row r="24" spans="1:26" s="24" customFormat="1" hidden="1" outlineLevel="2" x14ac:dyDescent="0.3">
      <c r="A24" s="27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112.49</v>
      </c>
      <c r="U24" s="2"/>
      <c r="V24" s="6">
        <f t="shared" si="5"/>
        <v>0</v>
      </c>
      <c r="W24" s="2"/>
      <c r="X24" s="7">
        <f t="shared" si="6"/>
        <v>-112.49</v>
      </c>
      <c r="Y24" s="2"/>
      <c r="Z24" s="6">
        <f t="shared" si="7"/>
        <v>-1</v>
      </c>
    </row>
    <row r="25" spans="1:26" s="29" customFormat="1" outlineLevel="1" collapsed="1" x14ac:dyDescent="0.3">
      <c r="A25" s="28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3">
      <c r="A26" s="27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2259.48</v>
      </c>
      <c r="U26" s="2"/>
      <c r="V26" s="6">
        <f t="shared" si="13"/>
        <v>0</v>
      </c>
      <c r="W26" s="2"/>
      <c r="X26" s="7">
        <f t="shared" si="14"/>
        <v>-2259.48</v>
      </c>
      <c r="Y26" s="2"/>
      <c r="Z26" s="6">
        <f t="shared" si="15"/>
        <v>-1</v>
      </c>
    </row>
    <row r="27" spans="1:26" s="29" customFormat="1" outlineLevel="1" collapsed="1" x14ac:dyDescent="0.3">
      <c r="A27" s="28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406.21</v>
      </c>
      <c r="Q27" s="1"/>
      <c r="R27" s="5">
        <f t="shared" si="12"/>
        <v>0</v>
      </c>
      <c r="S27" s="1"/>
      <c r="T27" s="1">
        <f>SUM(OSRRefT22_2x_0)</f>
        <v>406.21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3">
      <c r="A28" s="27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58.03</v>
      </c>
      <c r="E28" s="2"/>
      <c r="F28" s="6">
        <f t="shared" si="8"/>
        <v>0</v>
      </c>
      <c r="G28" s="2"/>
      <c r="H28" s="7">
        <v>58.03</v>
      </c>
      <c r="I28" s="2"/>
      <c r="J28" s="6">
        <f t="shared" si="9"/>
        <v>0</v>
      </c>
      <c r="K28" s="2"/>
      <c r="L28" s="7">
        <f t="shared" si="10"/>
        <v>0</v>
      </c>
      <c r="M28" s="2"/>
      <c r="N28" s="6">
        <f t="shared" si="11"/>
        <v>0</v>
      </c>
      <c r="O28" s="11"/>
      <c r="P28" s="7">
        <v>406.21</v>
      </c>
      <c r="Q28" s="2"/>
      <c r="R28" s="6">
        <f t="shared" si="12"/>
        <v>0</v>
      </c>
      <c r="S28" s="2"/>
      <c r="T28" s="7">
        <v>406.21</v>
      </c>
      <c r="U28" s="2"/>
      <c r="V28" s="6">
        <f t="shared" si="13"/>
        <v>0</v>
      </c>
      <c r="W28" s="2"/>
      <c r="X28" s="7">
        <f t="shared" si="14"/>
        <v>0</v>
      </c>
      <c r="Y28" s="2"/>
      <c r="Z28" s="6">
        <f t="shared" si="15"/>
        <v>0</v>
      </c>
    </row>
    <row r="29" spans="1:26" s="29" customFormat="1" outlineLevel="1" collapsed="1" x14ac:dyDescent="0.3">
      <c r="A29" s="28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264.95</v>
      </c>
      <c r="Q29" s="1"/>
      <c r="R29" s="5">
        <f t="shared" si="12"/>
        <v>0</v>
      </c>
      <c r="S29" s="1"/>
      <c r="T29" s="1">
        <f>SUM(OSRRefT22_3x_0)</f>
        <v>410.1</v>
      </c>
      <c r="U29" s="1"/>
      <c r="V29" s="5">
        <f t="shared" si="13"/>
        <v>0</v>
      </c>
      <c r="W29" s="1"/>
      <c r="X29" s="1">
        <f t="shared" si="14"/>
        <v>-145.15000000000003</v>
      </c>
      <c r="Y29" s="1"/>
      <c r="Z29" s="5">
        <f t="shared" si="15"/>
        <v>-0.35393806388685695</v>
      </c>
    </row>
    <row r="30" spans="1:26" s="24" customFormat="1" hidden="1" outlineLevel="2" x14ac:dyDescent="0.3">
      <c r="A30" s="27"/>
      <c r="B30" s="11" t="str">
        <f>CONCATENATE("          ", "6373", " - ", "MAINTENANCE CONTRACTS")</f>
        <v xml:space="preserve">          6373 - MAINTENANCE CONTRACTS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264.95</v>
      </c>
      <c r="Q30" s="2"/>
      <c r="R30" s="6">
        <f t="shared" si="12"/>
        <v>0</v>
      </c>
      <c r="S30" s="2"/>
      <c r="T30" s="7">
        <v>410.1</v>
      </c>
      <c r="U30" s="2"/>
      <c r="V30" s="6">
        <f t="shared" si="13"/>
        <v>0</v>
      </c>
      <c r="W30" s="2"/>
      <c r="X30" s="7">
        <f t="shared" si="14"/>
        <v>-145.15000000000003</v>
      </c>
      <c r="Y30" s="2"/>
      <c r="Z30" s="6">
        <f t="shared" si="15"/>
        <v>-0.35393806388685695</v>
      </c>
    </row>
    <row r="31" spans="1:26" s="29" customFormat="1" outlineLevel="1" collapsed="1" x14ac:dyDescent="0.3">
      <c r="A31" s="28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3">
      <c r="A32" s="27"/>
      <c r="B32" s="11" t="str">
        <f>CONCATENATE("          ", "6282", " - ", "JANITORIAL/EXTERMINATOR EXPENS")</f>
        <v xml:space="preserve">          6282 - JANITORIAL/EXTERMINATOR EXPENS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286.62</v>
      </c>
      <c r="U32" s="2"/>
      <c r="V32" s="6">
        <f t="shared" si="13"/>
        <v>0</v>
      </c>
      <c r="W32" s="2"/>
      <c r="X32" s="7">
        <f t="shared" si="14"/>
        <v>-286.62</v>
      </c>
      <c r="Y32" s="2"/>
      <c r="Z32" s="6">
        <f t="shared" si="15"/>
        <v>-1</v>
      </c>
    </row>
    <row r="33" spans="1:26" s="29" customFormat="1" outlineLevel="1" collapsed="1" x14ac:dyDescent="0.3">
      <c r="A33" s="28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0</v>
      </c>
      <c r="I33" s="1"/>
      <c r="J33" s="5">
        <f t="shared" si="9"/>
        <v>0</v>
      </c>
      <c r="K33" s="1"/>
      <c r="L33" s="1">
        <f t="shared" si="10"/>
        <v>0</v>
      </c>
      <c r="M33" s="1"/>
      <c r="N33" s="5">
        <f t="shared" si="11"/>
        <v>0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49.7</v>
      </c>
      <c r="U33" s="1"/>
      <c r="V33" s="5">
        <f t="shared" si="13"/>
        <v>0</v>
      </c>
      <c r="W33" s="1"/>
      <c r="X33" s="1">
        <f t="shared" si="14"/>
        <v>-49.7</v>
      </c>
      <c r="Y33" s="1"/>
      <c r="Z33" s="5">
        <f t="shared" si="15"/>
        <v>-1</v>
      </c>
    </row>
    <row r="34" spans="1:26" s="24" customFormat="1" hidden="1" outlineLevel="2" x14ac:dyDescent="0.3">
      <c r="A34" s="27"/>
      <c r="B34" s="11" t="str">
        <f>CONCATENATE("          ", "6309", " - ", "TELEPHONE")</f>
        <v xml:space="preserve">          6309 - TELEPHONE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49.7</v>
      </c>
      <c r="U34" s="2"/>
      <c r="V34" s="6">
        <f t="shared" si="13"/>
        <v>0</v>
      </c>
      <c r="W34" s="2"/>
      <c r="X34" s="7">
        <f t="shared" si="14"/>
        <v>-49.7</v>
      </c>
      <c r="Y34" s="2"/>
      <c r="Z34" s="6">
        <f t="shared" si="15"/>
        <v>-1</v>
      </c>
    </row>
    <row r="35" spans="1:26" s="52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6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10"/>
      <c r="B38" s="25" t="s">
        <v>276</v>
      </c>
      <c r="C38" s="25"/>
      <c r="D38" s="21">
        <f>+D16-D18+D36</f>
        <v>-58.03</v>
      </c>
      <c r="E38" s="13"/>
      <c r="F38" s="22">
        <f>IF(D$12=0,0,D38/D$12)</f>
        <v>0</v>
      </c>
      <c r="G38" s="13"/>
      <c r="H38" s="21">
        <f>+H16-H18+H36</f>
        <v>-58.03</v>
      </c>
      <c r="I38" s="13"/>
      <c r="J38" s="22">
        <f>IF(H$12=0,0,H38/H$12)</f>
        <v>0</v>
      </c>
      <c r="K38" s="15"/>
      <c r="L38" s="21">
        <f>+D38-H38</f>
        <v>0</v>
      </c>
      <c r="M38" s="15"/>
      <c r="N38" s="22">
        <f>IF(H38=0,0,L38/H38)</f>
        <v>0</v>
      </c>
      <c r="O38" s="26"/>
      <c r="P38" s="21">
        <f>+P16-P18+P36</f>
        <v>-671.16</v>
      </c>
      <c r="Q38" s="13"/>
      <c r="R38" s="22">
        <f>IF(P$12=0,0,P38/P$12)</f>
        <v>0</v>
      </c>
      <c r="S38" s="13"/>
      <c r="T38" s="21">
        <f>+T16-T18+T36</f>
        <v>-4905.54</v>
      </c>
      <c r="U38" s="13"/>
      <c r="V38" s="22">
        <f>IF(T$12=0,0,T38/T$12)</f>
        <v>0</v>
      </c>
      <c r="W38" s="15"/>
      <c r="X38" s="21">
        <f>+P38-T38</f>
        <v>4234.38</v>
      </c>
      <c r="Y38" s="15"/>
      <c r="Z38" s="22">
        <f>IF(T38=0,0,X38/T38)</f>
        <v>-0.86318325811225682</v>
      </c>
    </row>
    <row r="39" spans="1:26" x14ac:dyDescent="0.3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" thickBot="1" x14ac:dyDescent="0.35">
      <c r="A42" s="10"/>
      <c r="B42" s="25" t="s">
        <v>125</v>
      </c>
      <c r="C42" s="25"/>
      <c r="D42" s="36">
        <f>+D38-D40</f>
        <v>-58.03</v>
      </c>
      <c r="E42" s="13"/>
      <c r="F42" s="31">
        <f>IF(D$12=0,0,D42/D$12)</f>
        <v>0</v>
      </c>
      <c r="G42" s="13"/>
      <c r="H42" s="36">
        <f>+H38-H40</f>
        <v>-58.03</v>
      </c>
      <c r="I42" s="13"/>
      <c r="J42" s="31">
        <f>IF(H$12=0,0,H42/H$12)</f>
        <v>0</v>
      </c>
      <c r="K42" s="15"/>
      <c r="L42" s="36">
        <f>D42-H42</f>
        <v>0</v>
      </c>
      <c r="M42" s="15"/>
      <c r="N42" s="31">
        <f>IF(H42=0,0,L42/H42)</f>
        <v>0</v>
      </c>
      <c r="O42" s="26"/>
      <c r="P42" s="36">
        <f>+P38-P40</f>
        <v>-671.16</v>
      </c>
      <c r="Q42" s="13"/>
      <c r="R42" s="31">
        <f>IF(P$12=0,0,P42/P$12)</f>
        <v>0</v>
      </c>
      <c r="S42" s="13"/>
      <c r="T42" s="36">
        <f>+T38-T40</f>
        <v>-4905.54</v>
      </c>
      <c r="U42" s="13"/>
      <c r="V42" s="31">
        <f>IF(T$12=0,0,T42/T$12)</f>
        <v>0</v>
      </c>
      <c r="W42" s="15"/>
      <c r="X42" s="36">
        <f>P42-T42</f>
        <v>4234.38</v>
      </c>
      <c r="Y42" s="15"/>
      <c r="Z42" s="31">
        <f>IF(T42=0,0,X42/T42)</f>
        <v>-0.86318325811225682</v>
      </c>
    </row>
    <row r="43" spans="1:26" ht="15" thickTop="1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3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" thickBot="1" x14ac:dyDescent="0.35">
      <c r="A45" s="10"/>
      <c r="B45" s="25" t="s">
        <v>293</v>
      </c>
      <c r="C45" s="25"/>
      <c r="D45" s="35">
        <f>SUM(D42:D44)</f>
        <v>-58.03</v>
      </c>
      <c r="E45" s="13"/>
      <c r="F45" s="32">
        <f>IF(D$12=0,0,D45/D$12)</f>
        <v>0</v>
      </c>
      <c r="G45" s="13"/>
      <c r="H45" s="35">
        <f>SUM(H42:H44)</f>
        <v>-58.03</v>
      </c>
      <c r="I45" s="13"/>
      <c r="J45" s="32">
        <f>IF(H$12=0,0,H45/H$12)</f>
        <v>0</v>
      </c>
      <c r="K45" s="15"/>
      <c r="L45" s="35">
        <f>+D45-H45</f>
        <v>0</v>
      </c>
      <c r="M45" s="15"/>
      <c r="N45" s="32">
        <f>IF(H45=0,0,L45/H45)</f>
        <v>0</v>
      </c>
      <c r="O45" s="26"/>
      <c r="P45" s="35">
        <f>SUM(P42:P44)</f>
        <v>-671.16</v>
      </c>
      <c r="Q45" s="13"/>
      <c r="R45" s="32">
        <f>IF(P$12=0,0,P45/P$12)</f>
        <v>0</v>
      </c>
      <c r="S45" s="13"/>
      <c r="T45" s="35">
        <f>SUM(T42:T44)</f>
        <v>-4905.54</v>
      </c>
      <c r="U45" s="13"/>
      <c r="V45" s="32">
        <f>IF(T$12=0,0,T45/T$12)</f>
        <v>0</v>
      </c>
      <c r="W45" s="15"/>
      <c r="X45" s="35">
        <f>+P45-T45</f>
        <v>4234.38</v>
      </c>
      <c r="Y45" s="15"/>
      <c r="Z45" s="32">
        <f>IF(T45=0,0,X45/T45)</f>
        <v>-0.86318325811225682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3">
      <c r="A47" s="9"/>
      <c r="B47" s="54">
        <v>44604.028475694446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3">
      <c r="A48" s="9"/>
      <c r="B48" s="53" t="s">
        <v>56</v>
      </c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1:24" x14ac:dyDescent="0.3">
      <c r="A49" s="9"/>
      <c r="B49" s="59"/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  <row r="50" spans="1:24" x14ac:dyDescent="0.3">
      <c r="D50" s="17"/>
      <c r="E50" s="17"/>
      <c r="G50" s="17"/>
      <c r="H50" s="17"/>
      <c r="I50" s="17"/>
      <c r="J50" s="42"/>
      <c r="K50" s="17"/>
      <c r="L50" s="17"/>
      <c r="M50" s="17"/>
      <c r="P50" s="17"/>
      <c r="Q50" s="17"/>
      <c r="R50" s="42"/>
      <c r="S50" s="17"/>
      <c r="T50" s="17"/>
      <c r="U50" s="17"/>
      <c r="V50" s="42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","414", " - ", "Starbucks UDP")</f>
        <v>Department 414 - Starbucks UDP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0</v>
      </c>
      <c r="E17" s="13"/>
      <c r="F17" s="22">
        <f>IF(D$12=0,0,D17/D$12)</f>
        <v>0</v>
      </c>
      <c r="G17" s="13"/>
      <c r="H17" s="21">
        <f>H12-H15</f>
        <v>0</v>
      </c>
      <c r="I17" s="13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6"/>
      <c r="P17" s="21">
        <f>P12-P15</f>
        <v>0</v>
      </c>
      <c r="Q17" s="13"/>
      <c r="R17" s="22">
        <f>IF(P$12=0,0,P17/P$12)</f>
        <v>0</v>
      </c>
      <c r="S17" s="13"/>
      <c r="T17" s="21">
        <f>T12-T15</f>
        <v>974.91</v>
      </c>
      <c r="U17" s="13"/>
      <c r="V17" s="22">
        <f>IF(T$12=0,0,T17/T$12)</f>
        <v>1</v>
      </c>
      <c r="W17" s="15"/>
      <c r="X17" s="21">
        <f>+P17-T17</f>
        <v>-974.91</v>
      </c>
      <c r="Y17" s="15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0</v>
      </c>
      <c r="E19" s="20"/>
      <c r="F19" s="30">
        <f t="shared" ref="F19:F30" si="4">IF(D$12=0,0,D19/D$12)</f>
        <v>0</v>
      </c>
      <c r="G19" s="20"/>
      <c r="H19" s="20">
        <f>SUM(OSRRefH22x_0)</f>
        <v>1825.26</v>
      </c>
      <c r="I19" s="20"/>
      <c r="J19" s="30">
        <f t="shared" ref="J19:J30" si="5">IF(H$12=0,0,H19/H$12)</f>
        <v>0</v>
      </c>
      <c r="K19" s="4"/>
      <c r="L19" s="20">
        <f t="shared" ref="L19:L30" si="6">+D19-H19</f>
        <v>-1825.26</v>
      </c>
      <c r="M19" s="4"/>
      <c r="N19" s="30">
        <f t="shared" ref="N19:N30" si="7">IF(H19=0,0,L19/H19)</f>
        <v>-1</v>
      </c>
      <c r="O19" s="10"/>
      <c r="P19" s="20">
        <f>SUM(OSRRefP22x_0)</f>
        <v>310.49</v>
      </c>
      <c r="Q19" s="20"/>
      <c r="R19" s="30">
        <f t="shared" ref="R19:R30" si="8">IF(P$12=0,0,P19/P$12)</f>
        <v>0</v>
      </c>
      <c r="S19" s="20"/>
      <c r="T19" s="20">
        <f>SUM(OSRRefT22x_0)</f>
        <v>14228.16</v>
      </c>
      <c r="U19" s="20"/>
      <c r="V19" s="30">
        <f t="shared" ref="V19:V30" si="9">IF(T$12=0,0,T19/T$12)</f>
        <v>14.594331784472413</v>
      </c>
      <c r="W19" s="4"/>
      <c r="X19" s="20">
        <f t="shared" ref="X19:X30" si="10">+P19-T19</f>
        <v>-13917.67</v>
      </c>
      <c r="Y19" s="4"/>
      <c r="Z19" s="30">
        <f t="shared" ref="Z19:Z30" si="11">IF(T19=0,0,X19/T19)</f>
        <v>-0.97817778265074329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/>
      <c r="Q21" s="2"/>
      <c r="R21" s="6">
        <f t="shared" si="8"/>
        <v>0</v>
      </c>
      <c r="S21" s="2"/>
      <c r="T21" s="7">
        <v>702.51</v>
      </c>
      <c r="U21" s="2"/>
      <c r="V21" s="6">
        <f t="shared" si="9"/>
        <v>0.72058959288549718</v>
      </c>
      <c r="W21" s="2"/>
      <c r="X21" s="7">
        <f t="shared" si="10"/>
        <v>-702.51</v>
      </c>
      <c r="Y21" s="2"/>
      <c r="Z21" s="6">
        <f t="shared" si="11"/>
        <v>-1</v>
      </c>
    </row>
    <row r="22" spans="1:26" s="29" customFormat="1" outlineLevel="1" collapsed="1" x14ac:dyDescent="0.3">
      <c r="A22" s="28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12923.61</v>
      </c>
      <c r="U22" s="1"/>
      <c r="V22" s="5">
        <f t="shared" si="9"/>
        <v>13.256208265378344</v>
      </c>
      <c r="W22" s="1"/>
      <c r="X22" s="1">
        <f t="shared" si="10"/>
        <v>-12923.61</v>
      </c>
      <c r="Y22" s="1"/>
      <c r="Z22" s="5">
        <f t="shared" si="11"/>
        <v>-1</v>
      </c>
    </row>
    <row r="23" spans="1:26" s="24" customFormat="1" hidden="1" outlineLevel="2" x14ac:dyDescent="0.3">
      <c r="A23" s="27"/>
      <c r="B23" s="11" t="str">
        <f>CONCATENATE("          ", "6322", " - ", "EQUIPMENT DEPRECIATION EXPENSE")</f>
        <v xml:space="preserve">          6322 - EQUIPMENT DEPRECIATION EXPENSE</v>
      </c>
      <c r="C23" s="11"/>
      <c r="D23" s="7"/>
      <c r="E23" s="2"/>
      <c r="F23" s="6">
        <f t="shared" si="4"/>
        <v>0</v>
      </c>
      <c r="G23" s="2"/>
      <c r="H23" s="7">
        <v>1825.26</v>
      </c>
      <c r="I23" s="2"/>
      <c r="J23" s="6">
        <f t="shared" si="5"/>
        <v>0</v>
      </c>
      <c r="K23" s="2"/>
      <c r="L23" s="7">
        <f t="shared" si="6"/>
        <v>-1825.26</v>
      </c>
      <c r="M23" s="2"/>
      <c r="N23" s="6">
        <f t="shared" si="7"/>
        <v>-1</v>
      </c>
      <c r="O23" s="11"/>
      <c r="P23" s="7"/>
      <c r="Q23" s="2"/>
      <c r="R23" s="6">
        <f t="shared" si="8"/>
        <v>0</v>
      </c>
      <c r="S23" s="2"/>
      <c r="T23" s="7">
        <v>12923.61</v>
      </c>
      <c r="U23" s="2"/>
      <c r="V23" s="6">
        <f t="shared" si="9"/>
        <v>13.256208265378344</v>
      </c>
      <c r="W23" s="2"/>
      <c r="X23" s="7">
        <f t="shared" si="10"/>
        <v>-12923.61</v>
      </c>
      <c r="Y23" s="2"/>
      <c r="Z23" s="6">
        <f t="shared" si="11"/>
        <v>-1</v>
      </c>
    </row>
    <row r="24" spans="1:26" s="29" customFormat="1" outlineLevel="1" collapsed="1" x14ac:dyDescent="0.3">
      <c r="A24" s="28"/>
      <c r="B24" s="14" t="str">
        <f>CONCATENATE("     ","Equipment Rental                                  ")</f>
        <v xml:space="preserve">     Equipment Rental                                  </v>
      </c>
      <c r="C24" s="14"/>
      <c r="D24" s="1">
        <f>SUM(OSRRefD22_2x_0)</f>
        <v>0</v>
      </c>
      <c r="E24" s="1"/>
      <c r="F24" s="5">
        <f t="shared" si="4"/>
        <v>0</v>
      </c>
      <c r="G24" s="1"/>
      <c r="H24" s="1">
        <f>SUM(OSRRefH22_2x_0)</f>
        <v>0</v>
      </c>
      <c r="I24" s="1"/>
      <c r="J24" s="5">
        <f t="shared" si="5"/>
        <v>0</v>
      </c>
      <c r="K24" s="1"/>
      <c r="L24" s="1">
        <f t="shared" si="6"/>
        <v>0</v>
      </c>
      <c r="M24" s="1"/>
      <c r="N24" s="5">
        <f t="shared" si="7"/>
        <v>0</v>
      </c>
      <c r="O24" s="14"/>
      <c r="P24" s="1">
        <f>SUM(OSRRefP22_2x_0)</f>
        <v>118.91</v>
      </c>
      <c r="Q24" s="1"/>
      <c r="R24" s="5">
        <f t="shared" si="8"/>
        <v>0</v>
      </c>
      <c r="S24" s="1"/>
      <c r="T24" s="1">
        <f>SUM(OSRRefT22_2x_0)</f>
        <v>96.3</v>
      </c>
      <c r="U24" s="1"/>
      <c r="V24" s="5">
        <f t="shared" si="9"/>
        <v>9.8778348770655749E-2</v>
      </c>
      <c r="W24" s="1"/>
      <c r="X24" s="1">
        <f t="shared" si="10"/>
        <v>22.61</v>
      </c>
      <c r="Y24" s="1"/>
      <c r="Z24" s="5">
        <f t="shared" si="11"/>
        <v>0.2347871235721703</v>
      </c>
    </row>
    <row r="25" spans="1:26" s="24" customFormat="1" hidden="1" outlineLevel="2" x14ac:dyDescent="0.3">
      <c r="A25" s="27"/>
      <c r="B25" s="11" t="str">
        <f>CONCATENATE("          ", "6351", " - ", "EQUIPMENT RENTAL")</f>
        <v xml:space="preserve">          6351 - EQUIPMENT RENTAL</v>
      </c>
      <c r="C25" s="11"/>
      <c r="D25" s="7"/>
      <c r="E25" s="2"/>
      <c r="F25" s="6">
        <f t="shared" si="4"/>
        <v>0</v>
      </c>
      <c r="G25" s="2"/>
      <c r="H25" s="7"/>
      <c r="I25" s="2"/>
      <c r="J25" s="6">
        <f t="shared" si="5"/>
        <v>0</v>
      </c>
      <c r="K25" s="2"/>
      <c r="L25" s="7">
        <f t="shared" si="6"/>
        <v>0</v>
      </c>
      <c r="M25" s="2"/>
      <c r="N25" s="6">
        <f t="shared" si="7"/>
        <v>0</v>
      </c>
      <c r="O25" s="11"/>
      <c r="P25" s="7">
        <v>118.91</v>
      </c>
      <c r="Q25" s="2"/>
      <c r="R25" s="6">
        <f t="shared" si="8"/>
        <v>0</v>
      </c>
      <c r="S25" s="2"/>
      <c r="T25" s="7">
        <v>96.3</v>
      </c>
      <c r="U25" s="2"/>
      <c r="V25" s="6">
        <f t="shared" si="9"/>
        <v>9.8778348770655749E-2</v>
      </c>
      <c r="W25" s="2"/>
      <c r="X25" s="7">
        <f t="shared" si="10"/>
        <v>22.61</v>
      </c>
      <c r="Y25" s="2"/>
      <c r="Z25" s="6">
        <f t="shared" si="11"/>
        <v>0.2347871235721703</v>
      </c>
    </row>
    <row r="26" spans="1:26" s="29" customFormat="1" outlineLevel="1" collapsed="1" x14ac:dyDescent="0.3">
      <c r="A26" s="28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0</v>
      </c>
      <c r="I26" s="1"/>
      <c r="J26" s="5">
        <f t="shared" si="5"/>
        <v>0</v>
      </c>
      <c r="K26" s="1"/>
      <c r="L26" s="1">
        <f t="shared" si="6"/>
        <v>0</v>
      </c>
      <c r="M26" s="1"/>
      <c r="N26" s="5">
        <f t="shared" si="7"/>
        <v>0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7.28</v>
      </c>
      <c r="U26" s="1"/>
      <c r="V26" s="5">
        <f t="shared" si="9"/>
        <v>7.467355961063073E-3</v>
      </c>
      <c r="W26" s="1"/>
      <c r="X26" s="1">
        <f t="shared" si="10"/>
        <v>-7.28</v>
      </c>
      <c r="Y26" s="1"/>
      <c r="Z26" s="5">
        <f t="shared" si="11"/>
        <v>-1</v>
      </c>
    </row>
    <row r="27" spans="1:26" s="24" customFormat="1" hidden="1" outlineLevel="2" x14ac:dyDescent="0.3">
      <c r="A27" s="27"/>
      <c r="B27" s="11" t="str">
        <f>CONCATENATE("          ", "6279", " - ", "GENERAL EXPENSE")</f>
        <v xml:space="preserve">          6279 - GENERAL EXPENSE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/>
      <c r="Q27" s="2"/>
      <c r="R27" s="6">
        <f t="shared" si="8"/>
        <v>0</v>
      </c>
      <c r="S27" s="2"/>
      <c r="T27" s="7">
        <v>7.28</v>
      </c>
      <c r="U27" s="2"/>
      <c r="V27" s="6">
        <f t="shared" si="9"/>
        <v>7.467355961063073E-3</v>
      </c>
      <c r="W27" s="2"/>
      <c r="X27" s="7">
        <f t="shared" si="10"/>
        <v>-7.28</v>
      </c>
      <c r="Y27" s="2"/>
      <c r="Z27" s="6">
        <f t="shared" si="11"/>
        <v>-1</v>
      </c>
    </row>
    <row r="28" spans="1:26" s="29" customFormat="1" outlineLevel="1" collapsed="1" x14ac:dyDescent="0.3">
      <c r="A28" s="28"/>
      <c r="B28" s="14" t="str">
        <f>CONCATENATE("     ","Repair and Maintenance                            ")</f>
        <v xml:space="preserve">     Repair and Maintenance                            </v>
      </c>
      <c r="C28" s="14"/>
      <c r="D28" s="1">
        <f>SUM(OSRRefD22_4x_0)</f>
        <v>0</v>
      </c>
      <c r="E28" s="1"/>
      <c r="F28" s="5">
        <f t="shared" si="4"/>
        <v>0</v>
      </c>
      <c r="G28" s="1"/>
      <c r="H28" s="1">
        <f>SUM(OSRRefH22_4x_0)</f>
        <v>0</v>
      </c>
      <c r="I28" s="1"/>
      <c r="J28" s="5">
        <f t="shared" si="5"/>
        <v>0</v>
      </c>
      <c r="K28" s="1"/>
      <c r="L28" s="1">
        <f t="shared" si="6"/>
        <v>0</v>
      </c>
      <c r="M28" s="1"/>
      <c r="N28" s="5">
        <f t="shared" si="7"/>
        <v>0</v>
      </c>
      <c r="O28" s="14"/>
      <c r="P28" s="1">
        <f>SUM(OSRRefP22_4x_0)</f>
        <v>191.58</v>
      </c>
      <c r="Q28" s="1"/>
      <c r="R28" s="5">
        <f t="shared" si="8"/>
        <v>0</v>
      </c>
      <c r="S28" s="1"/>
      <c r="T28" s="1">
        <f>SUM(OSRRefT22_4x_0)</f>
        <v>498.46</v>
      </c>
      <c r="U28" s="1"/>
      <c r="V28" s="5">
        <f t="shared" si="9"/>
        <v>0.51128822147685427</v>
      </c>
      <c r="W28" s="1"/>
      <c r="X28" s="1">
        <f t="shared" si="10"/>
        <v>-306.88</v>
      </c>
      <c r="Y28" s="1"/>
      <c r="Z28" s="5">
        <f t="shared" si="11"/>
        <v>-0.61565622116117646</v>
      </c>
    </row>
    <row r="29" spans="1:26" s="24" customFormat="1" hidden="1" outlineLevel="2" x14ac:dyDescent="0.3">
      <c r="A29" s="27"/>
      <c r="B29" s="11" t="str">
        <f>CONCATENATE("          ", "6373", " - ", "MAINTENANCE CONTRACTS")</f>
        <v xml:space="preserve">          6373 - MAINTENANCE CONTRACTS</v>
      </c>
      <c r="C29" s="11"/>
      <c r="D29" s="7"/>
      <c r="E29" s="2"/>
      <c r="F29" s="6">
        <f t="shared" si="4"/>
        <v>0</v>
      </c>
      <c r="G29" s="2"/>
      <c r="H29" s="7"/>
      <c r="I29" s="2"/>
      <c r="J29" s="6">
        <f t="shared" si="5"/>
        <v>0</v>
      </c>
      <c r="K29" s="2"/>
      <c r="L29" s="7">
        <f t="shared" si="6"/>
        <v>0</v>
      </c>
      <c r="M29" s="2"/>
      <c r="N29" s="6">
        <f t="shared" si="7"/>
        <v>0</v>
      </c>
      <c r="O29" s="11"/>
      <c r="P29" s="7">
        <v>191.58</v>
      </c>
      <c r="Q29" s="2"/>
      <c r="R29" s="6">
        <f t="shared" si="8"/>
        <v>0</v>
      </c>
      <c r="S29" s="2"/>
      <c r="T29" s="7">
        <v>298.45999999999998</v>
      </c>
      <c r="U29" s="2"/>
      <c r="V29" s="6">
        <f t="shared" si="9"/>
        <v>0.30614107968940724</v>
      </c>
      <c r="W29" s="2"/>
      <c r="X29" s="7">
        <f t="shared" si="10"/>
        <v>-106.87999999999997</v>
      </c>
      <c r="Y29" s="2"/>
      <c r="Z29" s="6">
        <f t="shared" si="11"/>
        <v>-0.3581049386852509</v>
      </c>
    </row>
    <row r="30" spans="1:26" s="24" customFormat="1" hidden="1" outlineLevel="2" x14ac:dyDescent="0.3">
      <c r="A30" s="27"/>
      <c r="B30" s="11" t="str">
        <f>CONCATENATE("          ", "6375", " - ", "OUTSIDE REPAIRS &amp; MAINTENANCE")</f>
        <v xml:space="preserve">          6375 - OUTSIDE REPAIRS &amp; MAINTENANCE</v>
      </c>
      <c r="C30" s="11"/>
      <c r="D30" s="7"/>
      <c r="E30" s="2"/>
      <c r="F30" s="6">
        <f t="shared" si="4"/>
        <v>0</v>
      </c>
      <c r="G30" s="2"/>
      <c r="H30" s="7"/>
      <c r="I30" s="2"/>
      <c r="J30" s="6">
        <f t="shared" si="5"/>
        <v>0</v>
      </c>
      <c r="K30" s="2"/>
      <c r="L30" s="7">
        <f t="shared" si="6"/>
        <v>0</v>
      </c>
      <c r="M30" s="2"/>
      <c r="N30" s="6">
        <f t="shared" si="7"/>
        <v>0</v>
      </c>
      <c r="O30" s="11"/>
      <c r="P30" s="7"/>
      <c r="Q30" s="2"/>
      <c r="R30" s="6">
        <f t="shared" si="8"/>
        <v>0</v>
      </c>
      <c r="S30" s="2"/>
      <c r="T30" s="7">
        <v>200</v>
      </c>
      <c r="U30" s="2"/>
      <c r="V30" s="6">
        <f t="shared" si="9"/>
        <v>0.20514714178744706</v>
      </c>
      <c r="W30" s="2"/>
      <c r="X30" s="7">
        <f t="shared" si="10"/>
        <v>-200</v>
      </c>
      <c r="Y30" s="2"/>
      <c r="Z30" s="6">
        <f t="shared" si="11"/>
        <v>-1</v>
      </c>
    </row>
    <row r="31" spans="1:26" s="52" customFormat="1" x14ac:dyDescent="0.3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6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10"/>
      <c r="B34" s="25" t="s">
        <v>276</v>
      </c>
      <c r="C34" s="25"/>
      <c r="D34" s="21">
        <f>+D17-D19+D32</f>
        <v>0</v>
      </c>
      <c r="E34" s="13"/>
      <c r="F34" s="22">
        <f>IF(D$12=0,0,D34/D$12)</f>
        <v>0</v>
      </c>
      <c r="G34" s="13"/>
      <c r="H34" s="21">
        <f>+H17-H19+H32</f>
        <v>-1825.26</v>
      </c>
      <c r="I34" s="13"/>
      <c r="J34" s="22">
        <f>IF(H$12=0,0,H34/H$12)</f>
        <v>0</v>
      </c>
      <c r="K34" s="15"/>
      <c r="L34" s="21">
        <f>+D34-H34</f>
        <v>1825.26</v>
      </c>
      <c r="M34" s="15"/>
      <c r="N34" s="22">
        <f>IF(H34=0,0,L34/H34)</f>
        <v>-1</v>
      </c>
      <c r="O34" s="26"/>
      <c r="P34" s="21">
        <f>+P17-P19+P32</f>
        <v>-310.49</v>
      </c>
      <c r="Q34" s="13"/>
      <c r="R34" s="22">
        <f>IF(P$12=0,0,P34/P$12)</f>
        <v>0</v>
      </c>
      <c r="S34" s="13"/>
      <c r="T34" s="21">
        <f>+T17-T19+T32</f>
        <v>-13253.25</v>
      </c>
      <c r="U34" s="13"/>
      <c r="V34" s="22">
        <f>IF(T$12=0,0,T34/T$12)</f>
        <v>-13.594331784472413</v>
      </c>
      <c r="W34" s="15"/>
      <c r="X34" s="21">
        <f>+P34-T34</f>
        <v>12942.76</v>
      </c>
      <c r="Y34" s="15"/>
      <c r="Z34" s="22">
        <f>IF(T34=0,0,X34/T34)</f>
        <v>-0.97657253881123496</v>
      </c>
    </row>
    <row r="35" spans="1:26" x14ac:dyDescent="0.3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>
        <v>-3.41</v>
      </c>
      <c r="I36" s="4"/>
      <c r="J36" s="12">
        <f>IF(H$12=0,0,H36/H$12)</f>
        <v>0</v>
      </c>
      <c r="K36" s="4"/>
      <c r="L36" s="4">
        <f>+D36-H36</f>
        <v>3.41</v>
      </c>
      <c r="M36" s="4"/>
      <c r="N36" s="12">
        <f>IF(H36=0,0,L36/H36)</f>
        <v>-1</v>
      </c>
      <c r="O36" s="10"/>
      <c r="P36" s="4"/>
      <c r="Q36" s="4"/>
      <c r="R36" s="12">
        <f>IF(P$12=0,0,P36/P$12)</f>
        <v>0</v>
      </c>
      <c r="S36" s="4"/>
      <c r="T36" s="4">
        <v>176.97</v>
      </c>
      <c r="U36" s="4"/>
      <c r="V36" s="12">
        <f>IF(T$12=0,0,T36/T$12)</f>
        <v>0.18152444841062251</v>
      </c>
      <c r="W36" s="4"/>
      <c r="X36" s="4">
        <f>+P36-T36</f>
        <v>-176.97</v>
      </c>
      <c r="Y36" s="4"/>
      <c r="Z36" s="12">
        <f>IF(T36=0,0,X36/T36)</f>
        <v>-1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5" t="s">
        <v>125</v>
      </c>
      <c r="C38" s="25"/>
      <c r="D38" s="36">
        <f>+D34-D36</f>
        <v>0</v>
      </c>
      <c r="E38" s="13"/>
      <c r="F38" s="31">
        <f>IF(D$12=0,0,D38/D$12)</f>
        <v>0</v>
      </c>
      <c r="G38" s="13"/>
      <c r="H38" s="36">
        <f>+H34-H36</f>
        <v>-1821.85</v>
      </c>
      <c r="I38" s="13"/>
      <c r="J38" s="31">
        <f>IF(H$12=0,0,H38/H$12)</f>
        <v>0</v>
      </c>
      <c r="K38" s="15"/>
      <c r="L38" s="36">
        <f>D38-H38</f>
        <v>1821.85</v>
      </c>
      <c r="M38" s="15"/>
      <c r="N38" s="31">
        <f>IF(H38=0,0,L38/H38)</f>
        <v>-1</v>
      </c>
      <c r="O38" s="26"/>
      <c r="P38" s="36">
        <f>+P34-P36</f>
        <v>-310.49</v>
      </c>
      <c r="Q38" s="13"/>
      <c r="R38" s="31">
        <f>IF(P$12=0,0,P38/P$12)</f>
        <v>0</v>
      </c>
      <c r="S38" s="13"/>
      <c r="T38" s="36">
        <f>+T34-T36</f>
        <v>-13430.22</v>
      </c>
      <c r="U38" s="13"/>
      <c r="V38" s="31">
        <f>IF(T$12=0,0,T38/T$12)</f>
        <v>-13.775856232883035</v>
      </c>
      <c r="W38" s="15"/>
      <c r="X38" s="36">
        <f>P38-T38</f>
        <v>13119.73</v>
      </c>
      <c r="Y38" s="15"/>
      <c r="Z38" s="31">
        <f>IF(T38=0,0,X38/T38)</f>
        <v>-0.97688124245172459</v>
      </c>
    </row>
    <row r="39" spans="1:26" ht="15" thickTop="1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3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35">
      <c r="A41" s="10"/>
      <c r="B41" s="25" t="s">
        <v>293</v>
      </c>
      <c r="C41" s="25"/>
      <c r="D41" s="35">
        <f>SUM(D38:D40)</f>
        <v>0</v>
      </c>
      <c r="E41" s="13"/>
      <c r="F41" s="32">
        <f>IF(D$12=0,0,D41/D$12)</f>
        <v>0</v>
      </c>
      <c r="G41" s="13"/>
      <c r="H41" s="35">
        <f>SUM(H38:H40)</f>
        <v>-1821.85</v>
      </c>
      <c r="I41" s="13"/>
      <c r="J41" s="32">
        <f>IF(H$12=0,0,H41/H$12)</f>
        <v>0</v>
      </c>
      <c r="K41" s="15"/>
      <c r="L41" s="35">
        <f>+D41-H41</f>
        <v>1821.85</v>
      </c>
      <c r="M41" s="15"/>
      <c r="N41" s="32">
        <f>IF(H41=0,0,L41/H41)</f>
        <v>-1</v>
      </c>
      <c r="O41" s="26"/>
      <c r="P41" s="35">
        <f>SUM(P38:P40)</f>
        <v>-310.49</v>
      </c>
      <c r="Q41" s="13"/>
      <c r="R41" s="32">
        <f>IF(P$12=0,0,P41/P$12)</f>
        <v>0</v>
      </c>
      <c r="S41" s="13"/>
      <c r="T41" s="35">
        <f>SUM(T38:T40)</f>
        <v>-13430.22</v>
      </c>
      <c r="U41" s="13"/>
      <c r="V41" s="32">
        <f>IF(T$12=0,0,T41/T$12)</f>
        <v>-13.775856232883035</v>
      </c>
      <c r="W41" s="15"/>
      <c r="X41" s="35">
        <f>+P41-T41</f>
        <v>13119.73</v>
      </c>
      <c r="Y41" s="15"/>
      <c r="Z41" s="32">
        <f>IF(T41=0,0,X41/T41)</f>
        <v>-0.97688124245172459</v>
      </c>
    </row>
    <row r="42" spans="1:26" ht="15" thickTop="1" x14ac:dyDescent="0.3">
      <c r="A42" s="9"/>
      <c r="C42" s="9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4">
        <v>44604.028475694446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53" t="s">
        <v>56</v>
      </c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A45" s="9"/>
      <c r="B45" s="5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"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","415", " - ", "Outpost")</f>
        <v>Department 415 - Outpost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4827.0599999999995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4827.0599999999995</v>
      </c>
      <c r="M12" s="4"/>
      <c r="N12" s="12">
        <f t="shared" ref="N12:N14" si="1">IF(H12=0,0,L12/H12)</f>
        <v>0</v>
      </c>
      <c r="O12" s="10"/>
      <c r="P12" s="4">
        <f>SUM(OSRRefP13x_0)</f>
        <v>319495.71999999997</v>
      </c>
      <c r="Q12" s="4"/>
      <c r="R12" s="12"/>
      <c r="S12" s="4"/>
      <c r="T12" s="4">
        <f>SUM(OSRRefT13x_0)</f>
        <v>45135.7</v>
      </c>
      <c r="U12" s="4"/>
      <c r="V12" s="12"/>
      <c r="W12" s="4"/>
      <c r="X12" s="4">
        <f t="shared" ref="X12:X14" si="2">+P12-T12</f>
        <v>274360.01999999996</v>
      </c>
      <c r="Y12" s="4"/>
      <c r="Z12" s="12">
        <f t="shared" ref="Z12:Z14" si="3">IF(T12=0,0,X12/T12)</f>
        <v>6.0785591006675421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--2099.4</f>
        <v>2099.4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2099.4</v>
      </c>
      <c r="M13" s="2"/>
      <c r="N13" s="19">
        <f t="shared" si="1"/>
        <v>0</v>
      </c>
      <c r="O13" s="11"/>
      <c r="P13" s="2">
        <f>--125656.2</f>
        <v>125656.2</v>
      </c>
      <c r="Q13" s="2"/>
      <c r="R13" s="19"/>
      <c r="S13" s="2"/>
      <c r="T13" s="2">
        <f>--22964.48</f>
        <v>22964.48</v>
      </c>
      <c r="U13" s="2"/>
      <c r="V13" s="19"/>
      <c r="W13" s="2"/>
      <c r="X13" s="2">
        <f t="shared" si="2"/>
        <v>102691.72</v>
      </c>
      <c r="Y13" s="2"/>
      <c r="Z13" s="19">
        <f t="shared" si="3"/>
        <v>4.4717633493116331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--2727.66</f>
        <v>2727.66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2727.66</v>
      </c>
      <c r="M14" s="2"/>
      <c r="N14" s="19">
        <f t="shared" si="1"/>
        <v>0</v>
      </c>
      <c r="O14" s="11"/>
      <c r="P14" s="2">
        <f>--193839.52</f>
        <v>193839.52</v>
      </c>
      <c r="Q14" s="2"/>
      <c r="R14" s="19"/>
      <c r="S14" s="2"/>
      <c r="T14" s="2">
        <f>--22171.22</f>
        <v>22171.22</v>
      </c>
      <c r="U14" s="2"/>
      <c r="V14" s="19"/>
      <c r="W14" s="2"/>
      <c r="X14" s="2">
        <f t="shared" si="2"/>
        <v>171668.3</v>
      </c>
      <c r="Y14" s="2"/>
      <c r="Z14" s="19">
        <f t="shared" si="3"/>
        <v>7.7428441014973455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1817.6399999999999</v>
      </c>
      <c r="E16" s="4"/>
      <c r="F16" s="12">
        <f t="shared" ref="F16:F18" si="5">IF(D$12=0,0,D16/D$12)</f>
        <v>0.37655218704553084</v>
      </c>
      <c r="G16" s="4"/>
      <c r="H16" s="4">
        <f>SUM(OSRRefH16x_0)</f>
        <v>1319.87</v>
      </c>
      <c r="I16" s="4"/>
      <c r="J16" s="12">
        <f t="shared" ref="J16:J18" si="6">IF(H$12=0,0,H16/H$12)</f>
        <v>0</v>
      </c>
      <c r="K16" s="4"/>
      <c r="L16" s="4">
        <f t="shared" ref="L16:L18" si="7">+D16-H16</f>
        <v>497.77</v>
      </c>
      <c r="M16" s="4"/>
      <c r="N16" s="12">
        <f t="shared" ref="N16:N18" si="8">IF(H16=0,0,L16/H16)</f>
        <v>0.37713562699356756</v>
      </c>
      <c r="O16" s="10"/>
      <c r="P16" s="4">
        <f>SUM(OSRRefP16x_0)</f>
        <v>114852.79</v>
      </c>
      <c r="Q16" s="4"/>
      <c r="R16" s="12">
        <f t="shared" ref="R16:R18" si="9">IF(P$12=0,0,P16/P$12)</f>
        <v>0.35948146660618802</v>
      </c>
      <c r="S16" s="4"/>
      <c r="T16" s="4">
        <f>SUM(OSRRefT16x_0)</f>
        <v>20173.349999999999</v>
      </c>
      <c r="U16" s="4"/>
      <c r="V16" s="12">
        <f t="shared" ref="V16:V18" si="10">IF(T$12=0,0,T16/T$12)</f>
        <v>0.44694886752614893</v>
      </c>
      <c r="W16" s="4"/>
      <c r="X16" s="4">
        <f t="shared" ref="X16:X18" si="11">+P16-T16</f>
        <v>94679.44</v>
      </c>
      <c r="Y16" s="4"/>
      <c r="Z16" s="12">
        <f t="shared" ref="Z16:Z18" si="12">IF(T16=0,0,X16/T16)</f>
        <v>4.6932928839285495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4521.12</v>
      </c>
      <c r="E17" s="2"/>
      <c r="F17" s="19">
        <f t="shared" si="5"/>
        <v>0.9366198058445514</v>
      </c>
      <c r="G17" s="2"/>
      <c r="H17" s="2">
        <v>1534.85</v>
      </c>
      <c r="I17" s="2"/>
      <c r="J17" s="19">
        <f t="shared" si="6"/>
        <v>0</v>
      </c>
      <c r="K17" s="2"/>
      <c r="L17" s="2">
        <f t="shared" si="7"/>
        <v>2986.27</v>
      </c>
      <c r="M17" s="2"/>
      <c r="N17" s="19">
        <f t="shared" si="8"/>
        <v>1.9456428967000035</v>
      </c>
      <c r="O17" s="11"/>
      <c r="P17" s="2">
        <v>119053.78</v>
      </c>
      <c r="Q17" s="2"/>
      <c r="R17" s="19">
        <f t="shared" si="9"/>
        <v>0.37263028124445613</v>
      </c>
      <c r="S17" s="2"/>
      <c r="T17" s="2">
        <v>14844.27</v>
      </c>
      <c r="U17" s="2"/>
      <c r="V17" s="19">
        <f t="shared" si="10"/>
        <v>0.32888090801737874</v>
      </c>
      <c r="W17" s="2"/>
      <c r="X17" s="2">
        <f t="shared" si="11"/>
        <v>104209.51</v>
      </c>
      <c r="Y17" s="2"/>
      <c r="Z17" s="19">
        <f t="shared" si="12"/>
        <v>7.0201842192307193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-2703.48</v>
      </c>
      <c r="E18" s="2"/>
      <c r="F18" s="19">
        <f t="shared" si="5"/>
        <v>-0.56006761879902056</v>
      </c>
      <c r="G18" s="2"/>
      <c r="H18" s="2">
        <v>-214.98</v>
      </c>
      <c r="I18" s="2"/>
      <c r="J18" s="19">
        <f t="shared" si="6"/>
        <v>0</v>
      </c>
      <c r="K18" s="2"/>
      <c r="L18" s="2">
        <f t="shared" si="7"/>
        <v>-2488.5</v>
      </c>
      <c r="M18" s="2"/>
      <c r="N18" s="19">
        <f t="shared" si="8"/>
        <v>11.575495394920459</v>
      </c>
      <c r="O18" s="11"/>
      <c r="P18" s="2">
        <v>-4200.99</v>
      </c>
      <c r="Q18" s="2"/>
      <c r="R18" s="19">
        <f t="shared" si="9"/>
        <v>-1.3148814638268081E-2</v>
      </c>
      <c r="S18" s="2"/>
      <c r="T18" s="2">
        <v>5329.08</v>
      </c>
      <c r="U18" s="2"/>
      <c r="V18" s="19">
        <f t="shared" si="10"/>
        <v>0.11806795950877022</v>
      </c>
      <c r="W18" s="2"/>
      <c r="X18" s="2">
        <f t="shared" si="11"/>
        <v>-9530.07</v>
      </c>
      <c r="Y18" s="2"/>
      <c r="Z18" s="19">
        <f t="shared" si="12"/>
        <v>-1.7883143056587629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3009.4199999999996</v>
      </c>
      <c r="E20" s="13"/>
      <c r="F20" s="22">
        <f>IF(D$12=0,0,D20/D$12)</f>
        <v>0.62344781295446916</v>
      </c>
      <c r="G20" s="13"/>
      <c r="H20" s="21">
        <f>H12-H16</f>
        <v>-1319.87</v>
      </c>
      <c r="I20" s="13"/>
      <c r="J20" s="22">
        <f>IF(H$12=0,0,H20/H$12)</f>
        <v>0</v>
      </c>
      <c r="K20" s="15"/>
      <c r="L20" s="21">
        <f>+D20-H20</f>
        <v>4329.2899999999991</v>
      </c>
      <c r="M20" s="15"/>
      <c r="N20" s="22">
        <f>IF(H20=0,0,L20/H20)</f>
        <v>-3.2800881905036099</v>
      </c>
      <c r="O20" s="26"/>
      <c r="P20" s="21">
        <f>P12-P16</f>
        <v>204642.93</v>
      </c>
      <c r="Q20" s="13"/>
      <c r="R20" s="22">
        <f>IF(P$12=0,0,P20/P$12)</f>
        <v>0.64051853339381204</v>
      </c>
      <c r="S20" s="13"/>
      <c r="T20" s="21">
        <f>T12-T16</f>
        <v>24962.35</v>
      </c>
      <c r="U20" s="13"/>
      <c r="V20" s="22">
        <f>IF(T$12=0,0,T20/T$12)</f>
        <v>0.55305113247385107</v>
      </c>
      <c r="W20" s="15"/>
      <c r="X20" s="21">
        <f>+P20-T20</f>
        <v>179680.58</v>
      </c>
      <c r="Y20" s="15"/>
      <c r="Z20" s="22">
        <f>IF(T20=0,0,X20/T20)</f>
        <v>7.1980634836063109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60009.419999999991</v>
      </c>
      <c r="E22" s="20"/>
      <c r="F22" s="30">
        <f t="shared" ref="F22:F31" si="13">IF(D$12=0,0,D22/D$12)</f>
        <v>12.431877788964711</v>
      </c>
      <c r="G22" s="20"/>
      <c r="H22" s="20">
        <f>SUM(OSRRefH22x_0)</f>
        <v>57994.26</v>
      </c>
      <c r="I22" s="20"/>
      <c r="J22" s="30">
        <f t="shared" ref="J22:J31" si="14">IF(H$12=0,0,H22/H$12)</f>
        <v>0</v>
      </c>
      <c r="K22" s="4"/>
      <c r="L22" s="20">
        <f t="shared" ref="L22:L31" si="15">+D22-H22</f>
        <v>2015.1599999999889</v>
      </c>
      <c r="M22" s="4"/>
      <c r="N22" s="30">
        <f t="shared" ref="N22:N31" si="16">IF(H22=0,0,L22/H22)</f>
        <v>3.4747576742939539E-2</v>
      </c>
      <c r="O22" s="10"/>
      <c r="P22" s="20">
        <f>SUM(OSRRefP22x_0)</f>
        <v>515115.00999999989</v>
      </c>
      <c r="Q22" s="20"/>
      <c r="R22" s="30">
        <f t="shared" ref="R22:R31" si="17">IF(P$12=0,0,P22/P$12)</f>
        <v>1.6122751503525616</v>
      </c>
      <c r="S22" s="20"/>
      <c r="T22" s="20">
        <f>SUM(OSRRefT22x_0)</f>
        <v>441368.82</v>
      </c>
      <c r="U22" s="20"/>
      <c r="V22" s="30">
        <f t="shared" ref="V22:V31" si="18">IF(T$12=0,0,T22/T$12)</f>
        <v>9.7787077634776907</v>
      </c>
      <c r="W22" s="4"/>
      <c r="X22" s="20">
        <f t="shared" ref="X22:X31" si="19">+P22-T22</f>
        <v>73746.189999999886</v>
      </c>
      <c r="Y22" s="4"/>
      <c r="Z22" s="30">
        <f t="shared" ref="Z22:Z31" si="20">IF(T22=0,0,X22/T22)</f>
        <v>0.16708518286361934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12905.89</v>
      </c>
      <c r="E23" s="1"/>
      <c r="F23" s="5">
        <f t="shared" si="13"/>
        <v>2.6736543568963302</v>
      </c>
      <c r="G23" s="1"/>
      <c r="H23" s="1">
        <f>SUM(OSRRefH22_0x_0)</f>
        <v>12650.69</v>
      </c>
      <c r="I23" s="1"/>
      <c r="J23" s="5">
        <f t="shared" si="14"/>
        <v>0</v>
      </c>
      <c r="K23" s="1"/>
      <c r="L23" s="1">
        <f t="shared" si="15"/>
        <v>255.19999999999891</v>
      </c>
      <c r="M23" s="1"/>
      <c r="N23" s="5">
        <f t="shared" si="16"/>
        <v>2.0172812708239542E-2</v>
      </c>
      <c r="O23" s="14"/>
      <c r="P23" s="1">
        <f>SUM(OSRRefP22_0x_0)</f>
        <v>89671.93</v>
      </c>
      <c r="Q23" s="1"/>
      <c r="R23" s="5">
        <f t="shared" si="17"/>
        <v>0.28066707748072495</v>
      </c>
      <c r="S23" s="1"/>
      <c r="T23" s="1">
        <f>SUM(OSRRefT22_0x_0)</f>
        <v>94769.27</v>
      </c>
      <c r="U23" s="1"/>
      <c r="V23" s="5">
        <f t="shared" si="18"/>
        <v>2.0996521600418299</v>
      </c>
      <c r="W23" s="1"/>
      <c r="X23" s="1">
        <f t="shared" si="19"/>
        <v>-5097.3400000000111</v>
      </c>
      <c r="Y23" s="1"/>
      <c r="Z23" s="5">
        <f t="shared" si="20"/>
        <v>-5.3786844617458918E-2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1244.26</v>
      </c>
      <c r="E24" s="2"/>
      <c r="F24" s="6">
        <f t="shared" si="13"/>
        <v>0.25776766810439483</v>
      </c>
      <c r="G24" s="2"/>
      <c r="H24" s="7">
        <v>1178.27</v>
      </c>
      <c r="I24" s="2"/>
      <c r="J24" s="6">
        <f t="shared" si="14"/>
        <v>0</v>
      </c>
      <c r="K24" s="2"/>
      <c r="L24" s="7">
        <f t="shared" si="15"/>
        <v>65.990000000000009</v>
      </c>
      <c r="M24" s="2"/>
      <c r="N24" s="6">
        <f t="shared" si="16"/>
        <v>5.6005839069143755E-2</v>
      </c>
      <c r="O24" s="11"/>
      <c r="P24" s="7">
        <v>11803.53</v>
      </c>
      <c r="Q24" s="2"/>
      <c r="R24" s="6">
        <f t="shared" si="17"/>
        <v>3.6944250771184045E-2</v>
      </c>
      <c r="S24" s="2"/>
      <c r="T24" s="7">
        <v>10877.71</v>
      </c>
      <c r="U24" s="2"/>
      <c r="V24" s="6">
        <f t="shared" si="18"/>
        <v>0.2410001395790915</v>
      </c>
      <c r="W24" s="2"/>
      <c r="X24" s="7">
        <f t="shared" si="19"/>
        <v>925.82000000000153</v>
      </c>
      <c r="Y24" s="2"/>
      <c r="Z24" s="6">
        <f t="shared" si="20"/>
        <v>8.5111664127835884E-2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591.66</v>
      </c>
      <c r="E25" s="2"/>
      <c r="F25" s="6">
        <f t="shared" si="13"/>
        <v>0.12257150315098632</v>
      </c>
      <c r="G25" s="2"/>
      <c r="H25" s="7">
        <v>227.35</v>
      </c>
      <c r="I25" s="2"/>
      <c r="J25" s="6">
        <f t="shared" si="14"/>
        <v>0</v>
      </c>
      <c r="K25" s="2"/>
      <c r="L25" s="7">
        <f t="shared" si="15"/>
        <v>364.30999999999995</v>
      </c>
      <c r="M25" s="2"/>
      <c r="N25" s="6">
        <f t="shared" si="16"/>
        <v>1.6024191774796568</v>
      </c>
      <c r="O25" s="11"/>
      <c r="P25" s="7">
        <v>6490.12</v>
      </c>
      <c r="Q25" s="2"/>
      <c r="R25" s="6">
        <f t="shared" si="17"/>
        <v>2.0313636752317059E-2</v>
      </c>
      <c r="S25" s="2"/>
      <c r="T25" s="7">
        <v>4758.9799999999996</v>
      </c>
      <c r="U25" s="2"/>
      <c r="V25" s="6">
        <f t="shared" si="18"/>
        <v>0.10543715949902184</v>
      </c>
      <c r="W25" s="2"/>
      <c r="X25" s="7">
        <f t="shared" si="19"/>
        <v>1731.1400000000003</v>
      </c>
      <c r="Y25" s="2"/>
      <c r="Z25" s="6">
        <f t="shared" si="20"/>
        <v>0.36376282312596409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6152.38</v>
      </c>
      <c r="E26" s="2"/>
      <c r="F26" s="6">
        <f t="shared" si="13"/>
        <v>1.2745604985229106</v>
      </c>
      <c r="G26" s="2"/>
      <c r="H26" s="7">
        <v>6634.06</v>
      </c>
      <c r="I26" s="2"/>
      <c r="J26" s="6">
        <f t="shared" si="14"/>
        <v>0</v>
      </c>
      <c r="K26" s="2"/>
      <c r="L26" s="7">
        <f t="shared" si="15"/>
        <v>-481.68000000000029</v>
      </c>
      <c r="M26" s="2"/>
      <c r="N26" s="6">
        <f t="shared" si="16"/>
        <v>-7.2607121430918659E-2</v>
      </c>
      <c r="O26" s="11"/>
      <c r="P26" s="7">
        <v>43457.94</v>
      </c>
      <c r="Q26" s="2"/>
      <c r="R26" s="6">
        <f t="shared" si="17"/>
        <v>0.13602041366939127</v>
      </c>
      <c r="S26" s="2"/>
      <c r="T26" s="7">
        <v>47565.45</v>
      </c>
      <c r="U26" s="2"/>
      <c r="V26" s="6">
        <f t="shared" si="18"/>
        <v>1.0538321107238837</v>
      </c>
      <c r="W26" s="2"/>
      <c r="X26" s="7">
        <f t="shared" si="19"/>
        <v>-4107.5099999999948</v>
      </c>
      <c r="Y26" s="2"/>
      <c r="Z26" s="6">
        <f t="shared" si="20"/>
        <v>-8.6354906765309589E-2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42.73</v>
      </c>
      <c r="E27" s="2"/>
      <c r="F27" s="6">
        <f t="shared" si="13"/>
        <v>8.852179173244169E-3</v>
      </c>
      <c r="G27" s="2"/>
      <c r="H27" s="7">
        <v>107.19</v>
      </c>
      <c r="I27" s="2"/>
      <c r="J27" s="6">
        <f t="shared" si="14"/>
        <v>0</v>
      </c>
      <c r="K27" s="2"/>
      <c r="L27" s="7">
        <f t="shared" si="15"/>
        <v>-64.460000000000008</v>
      </c>
      <c r="M27" s="2"/>
      <c r="N27" s="6">
        <f t="shared" si="16"/>
        <v>-0.60136206735702968</v>
      </c>
      <c r="O27" s="11"/>
      <c r="P27" s="7">
        <v>468.74</v>
      </c>
      <c r="Q27" s="2"/>
      <c r="R27" s="6">
        <f t="shared" si="17"/>
        <v>1.4671245048290477E-3</v>
      </c>
      <c r="S27" s="2"/>
      <c r="T27" s="7">
        <v>420.19</v>
      </c>
      <c r="U27" s="2"/>
      <c r="V27" s="6">
        <f t="shared" si="18"/>
        <v>9.3094822945030218E-3</v>
      </c>
      <c r="W27" s="2"/>
      <c r="X27" s="7">
        <f t="shared" si="19"/>
        <v>48.550000000000011</v>
      </c>
      <c r="Y27" s="2"/>
      <c r="Z27" s="6">
        <f t="shared" si="20"/>
        <v>0.11554296865703613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398.51</v>
      </c>
      <c r="E28" s="2"/>
      <c r="F28" s="6">
        <f t="shared" si="13"/>
        <v>8.255749876736565E-2</v>
      </c>
      <c r="G28" s="2"/>
      <c r="H28" s="7">
        <v>2127.25</v>
      </c>
      <c r="I28" s="2"/>
      <c r="J28" s="6">
        <f t="shared" si="14"/>
        <v>0</v>
      </c>
      <c r="K28" s="2"/>
      <c r="L28" s="7">
        <f t="shared" si="15"/>
        <v>-1728.74</v>
      </c>
      <c r="M28" s="2"/>
      <c r="N28" s="6">
        <f t="shared" si="16"/>
        <v>-0.81266423786578912</v>
      </c>
      <c r="O28" s="11"/>
      <c r="P28" s="7">
        <v>6127.12</v>
      </c>
      <c r="Q28" s="2"/>
      <c r="R28" s="6">
        <f t="shared" si="17"/>
        <v>1.9177471297581076E-2</v>
      </c>
      <c r="S28" s="2"/>
      <c r="T28" s="7">
        <v>11383.39</v>
      </c>
      <c r="U28" s="2"/>
      <c r="V28" s="6">
        <f t="shared" si="18"/>
        <v>0.25220368798977305</v>
      </c>
      <c r="W28" s="2"/>
      <c r="X28" s="7">
        <f t="shared" si="19"/>
        <v>-5256.2699999999995</v>
      </c>
      <c r="Y28" s="2"/>
      <c r="Z28" s="6">
        <f t="shared" si="20"/>
        <v>-0.46174909231784206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>
        <v>1798.35</v>
      </c>
      <c r="E29" s="2"/>
      <c r="F29" s="6">
        <f t="shared" si="13"/>
        <v>0.37255596574312316</v>
      </c>
      <c r="G29" s="2"/>
      <c r="H29" s="7">
        <v>1401.26</v>
      </c>
      <c r="I29" s="2"/>
      <c r="J29" s="6">
        <f t="shared" si="14"/>
        <v>0</v>
      </c>
      <c r="K29" s="2"/>
      <c r="L29" s="7">
        <f t="shared" si="15"/>
        <v>397.08999999999992</v>
      </c>
      <c r="M29" s="2"/>
      <c r="N29" s="6">
        <f t="shared" si="16"/>
        <v>0.28338067168120112</v>
      </c>
      <c r="O29" s="11"/>
      <c r="P29" s="7">
        <v>8925.92</v>
      </c>
      <c r="Q29" s="2"/>
      <c r="R29" s="6">
        <f t="shared" si="17"/>
        <v>2.7937526048862252E-2</v>
      </c>
      <c r="S29" s="2"/>
      <c r="T29" s="7">
        <v>10217.48</v>
      </c>
      <c r="U29" s="2"/>
      <c r="V29" s="6">
        <f t="shared" si="18"/>
        <v>0.2263724723445078</v>
      </c>
      <c r="W29" s="2"/>
      <c r="X29" s="7">
        <f t="shared" si="19"/>
        <v>-1291.5599999999995</v>
      </c>
      <c r="Y29" s="2"/>
      <c r="Z29" s="6">
        <f t="shared" si="20"/>
        <v>-0.12640690268050433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>
        <v>2023.24</v>
      </c>
      <c r="E30" s="2"/>
      <c r="F30" s="6">
        <f t="shared" si="13"/>
        <v>0.41914540113443799</v>
      </c>
      <c r="G30" s="2"/>
      <c r="H30" s="7">
        <v>872.28</v>
      </c>
      <c r="I30" s="2"/>
      <c r="J30" s="6">
        <f t="shared" si="14"/>
        <v>0</v>
      </c>
      <c r="K30" s="2"/>
      <c r="L30" s="7">
        <f t="shared" si="15"/>
        <v>1150.96</v>
      </c>
      <c r="M30" s="2"/>
      <c r="N30" s="6">
        <f t="shared" si="16"/>
        <v>1.3194845691750356</v>
      </c>
      <c r="O30" s="11"/>
      <c r="P30" s="7">
        <v>7471.61</v>
      </c>
      <c r="Q30" s="2"/>
      <c r="R30" s="6">
        <f t="shared" si="17"/>
        <v>2.3385634086115457E-2</v>
      </c>
      <c r="S30" s="2"/>
      <c r="T30" s="7">
        <v>6456.88</v>
      </c>
      <c r="U30" s="2"/>
      <c r="V30" s="6">
        <f t="shared" si="18"/>
        <v>0.14305483242754627</v>
      </c>
      <c r="W30" s="2"/>
      <c r="X30" s="7">
        <f t="shared" si="19"/>
        <v>1014.7299999999996</v>
      </c>
      <c r="Y30" s="2"/>
      <c r="Z30" s="6">
        <f t="shared" si="20"/>
        <v>0.15715484878145475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7">
        <v>654.76</v>
      </c>
      <c r="E31" s="2"/>
      <c r="F31" s="6">
        <f t="shared" si="13"/>
        <v>0.13564364229986783</v>
      </c>
      <c r="G31" s="2"/>
      <c r="H31" s="7">
        <v>103.03</v>
      </c>
      <c r="I31" s="2"/>
      <c r="J31" s="6">
        <f t="shared" si="14"/>
        <v>0</v>
      </c>
      <c r="K31" s="2"/>
      <c r="L31" s="7">
        <f t="shared" si="15"/>
        <v>551.73</v>
      </c>
      <c r="M31" s="2"/>
      <c r="N31" s="6">
        <f t="shared" si="16"/>
        <v>5.3550422207124138</v>
      </c>
      <c r="O31" s="11"/>
      <c r="P31" s="7">
        <v>4926.95</v>
      </c>
      <c r="Q31" s="2"/>
      <c r="R31" s="6">
        <f t="shared" si="17"/>
        <v>1.5421020350444757E-2</v>
      </c>
      <c r="S31" s="2"/>
      <c r="T31" s="7">
        <v>3089.19</v>
      </c>
      <c r="U31" s="2"/>
      <c r="V31" s="6">
        <f t="shared" si="18"/>
        <v>6.8442275183502196E-2</v>
      </c>
      <c r="W31" s="2"/>
      <c r="X31" s="7">
        <f t="shared" si="19"/>
        <v>1837.7599999999998</v>
      </c>
      <c r="Y31" s="2"/>
      <c r="Z31" s="6">
        <f t="shared" si="20"/>
        <v>0.59490028130351313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16728.059999999998</v>
      </c>
      <c r="E32" s="1"/>
      <c r="F32" s="5">
        <f t="shared" ref="F32:F36" si="21">IF(D$12=0,0,D32/D$12)</f>
        <v>3.4654758797280332</v>
      </c>
      <c r="G32" s="1"/>
      <c r="H32" s="1">
        <f>SUM(OSRRefH22_1x_0)</f>
        <v>15294.730000000001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1433.3299999999963</v>
      </c>
      <c r="M32" s="1"/>
      <c r="N32" s="5">
        <f t="shared" ref="N32:N36" si="24">IF(H32=0,0,L32/H32)</f>
        <v>9.3713978605702491E-2</v>
      </c>
      <c r="O32" s="14"/>
      <c r="P32" s="1">
        <f>SUM(OSRRefP22_1x_0)</f>
        <v>171267.05</v>
      </c>
      <c r="Q32" s="1"/>
      <c r="R32" s="5">
        <f t="shared" ref="R32:R36" si="25">IF(P$12=0,0,P32/P$12)</f>
        <v>0.53605428579763137</v>
      </c>
      <c r="S32" s="1"/>
      <c r="T32" s="1">
        <f>SUM(OSRRefT22_1x_0)</f>
        <v>123371.81000000001</v>
      </c>
      <c r="U32" s="1"/>
      <c r="V32" s="5">
        <f t="shared" ref="V32:V36" si="26">IF(T$12=0,0,T32/T$12)</f>
        <v>2.7333531993521762</v>
      </c>
      <c r="W32" s="1"/>
      <c r="X32" s="1">
        <f t="shared" ref="X32:X36" si="27">+P32-T32</f>
        <v>47895.239999999976</v>
      </c>
      <c r="Y32" s="1"/>
      <c r="Z32" s="5">
        <f t="shared" ref="Z32:Z36" si="28">IF(T32=0,0,X32/T32)</f>
        <v>0.38821867005112409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4561.76</v>
      </c>
      <c r="E33" s="2"/>
      <c r="F33" s="6">
        <f t="shared" si="21"/>
        <v>0.94503900925200857</v>
      </c>
      <c r="G33" s="2"/>
      <c r="H33" s="7">
        <v>14173.28</v>
      </c>
      <c r="I33" s="2"/>
      <c r="J33" s="6">
        <f t="shared" si="22"/>
        <v>0</v>
      </c>
      <c r="K33" s="2"/>
      <c r="L33" s="7">
        <f t="shared" si="23"/>
        <v>-9611.52</v>
      </c>
      <c r="M33" s="2"/>
      <c r="N33" s="6">
        <f t="shared" si="24"/>
        <v>-0.67814366187643227</v>
      </c>
      <c r="O33" s="11"/>
      <c r="P33" s="7">
        <v>64130.16</v>
      </c>
      <c r="Q33" s="2"/>
      <c r="R33" s="6">
        <f t="shared" si="25"/>
        <v>0.20072306445920468</v>
      </c>
      <c r="S33" s="2"/>
      <c r="T33" s="7">
        <v>99224.31</v>
      </c>
      <c r="U33" s="2"/>
      <c r="V33" s="6">
        <f t="shared" si="26"/>
        <v>2.1983554038156052</v>
      </c>
      <c r="W33" s="2"/>
      <c r="X33" s="7">
        <f t="shared" si="27"/>
        <v>-35094.149999999994</v>
      </c>
      <c r="Y33" s="2"/>
      <c r="Z33" s="6">
        <f t="shared" si="28"/>
        <v>-0.35368499917006219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7843.79</v>
      </c>
      <c r="E34" s="2"/>
      <c r="F34" s="6">
        <f t="shared" si="21"/>
        <v>1.624962192307533</v>
      </c>
      <c r="G34" s="2"/>
      <c r="H34" s="7">
        <v>960.45</v>
      </c>
      <c r="I34" s="2"/>
      <c r="J34" s="6">
        <f t="shared" si="22"/>
        <v>0</v>
      </c>
      <c r="K34" s="2"/>
      <c r="L34" s="7">
        <f t="shared" si="23"/>
        <v>6883.34</v>
      </c>
      <c r="M34" s="2"/>
      <c r="N34" s="6">
        <f t="shared" si="24"/>
        <v>7.1667864022072987</v>
      </c>
      <c r="O34" s="11"/>
      <c r="P34" s="7">
        <v>36599.96</v>
      </c>
      <c r="Q34" s="2"/>
      <c r="R34" s="6">
        <f t="shared" si="25"/>
        <v>0.11455539999096076</v>
      </c>
      <c r="S34" s="2"/>
      <c r="T34" s="7">
        <v>21485.08</v>
      </c>
      <c r="U34" s="2"/>
      <c r="V34" s="6">
        <f t="shared" si="26"/>
        <v>0.47601078525424451</v>
      </c>
      <c r="W34" s="2"/>
      <c r="X34" s="7">
        <f t="shared" si="27"/>
        <v>15114.879999999997</v>
      </c>
      <c r="Y34" s="2"/>
      <c r="Z34" s="6">
        <f t="shared" si="28"/>
        <v>0.70350587477449444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878.51</v>
      </c>
      <c r="E35" s="2"/>
      <c r="F35" s="6">
        <f t="shared" si="21"/>
        <v>0.18199690909166244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878.51</v>
      </c>
      <c r="M35" s="2"/>
      <c r="N35" s="6">
        <f t="shared" si="24"/>
        <v>0</v>
      </c>
      <c r="O35" s="11"/>
      <c r="P35" s="7">
        <v>41517.35</v>
      </c>
      <c r="Q35" s="2"/>
      <c r="R35" s="6">
        <f t="shared" si="25"/>
        <v>0.12994649818783174</v>
      </c>
      <c r="S35" s="2"/>
      <c r="T35" s="7">
        <v>2431.71</v>
      </c>
      <c r="U35" s="2"/>
      <c r="V35" s="6">
        <f t="shared" si="26"/>
        <v>5.3875535330126713E-2</v>
      </c>
      <c r="W35" s="2"/>
      <c r="X35" s="7">
        <f t="shared" si="27"/>
        <v>39085.64</v>
      </c>
      <c r="Y35" s="2"/>
      <c r="Z35" s="6">
        <f t="shared" si="28"/>
        <v>16.073314663343901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3444</v>
      </c>
      <c r="E36" s="2"/>
      <c r="F36" s="6">
        <f t="shared" si="21"/>
        <v>0.71347776907682947</v>
      </c>
      <c r="G36" s="2"/>
      <c r="H36" s="7">
        <v>161</v>
      </c>
      <c r="I36" s="2"/>
      <c r="J36" s="6">
        <f t="shared" si="22"/>
        <v>0</v>
      </c>
      <c r="K36" s="2"/>
      <c r="L36" s="7">
        <f t="shared" si="23"/>
        <v>3283</v>
      </c>
      <c r="M36" s="2"/>
      <c r="N36" s="6">
        <f t="shared" si="24"/>
        <v>20.391304347826086</v>
      </c>
      <c r="O36" s="11"/>
      <c r="P36" s="7">
        <v>29019.58</v>
      </c>
      <c r="Q36" s="2"/>
      <c r="R36" s="6">
        <f t="shared" si="25"/>
        <v>9.0829323159634198E-2</v>
      </c>
      <c r="S36" s="2"/>
      <c r="T36" s="7">
        <v>230.71</v>
      </c>
      <c r="U36" s="2"/>
      <c r="V36" s="6">
        <f t="shared" si="26"/>
        <v>5.1114749521997006E-3</v>
      </c>
      <c r="W36" s="2"/>
      <c r="X36" s="7">
        <f t="shared" si="27"/>
        <v>28788.870000000003</v>
      </c>
      <c r="Y36" s="2"/>
      <c r="Z36" s="6">
        <f t="shared" si="28"/>
        <v>124.78379784144597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239.22</v>
      </c>
      <c r="E37" s="1"/>
      <c r="F37" s="5">
        <f t="shared" ref="F37:F45" si="29">IF(D$12=0,0,D37/D$12)</f>
        <v>4.9558116120371414E-2</v>
      </c>
      <c r="G37" s="1"/>
      <c r="H37" s="1">
        <f>SUM(OSRRefH22_2x_0)</f>
        <v>5.4</v>
      </c>
      <c r="I37" s="1"/>
      <c r="J37" s="5">
        <f t="shared" ref="J37:J45" si="30">IF(H$12=0,0,H37/H$12)</f>
        <v>0</v>
      </c>
      <c r="K37" s="1"/>
      <c r="L37" s="1">
        <f t="shared" ref="L37:L45" si="31">+D37-H37</f>
        <v>233.82</v>
      </c>
      <c r="M37" s="1"/>
      <c r="N37" s="5">
        <f t="shared" ref="N37:N45" si="32">IF(H37=0,0,L37/H37)</f>
        <v>43.3</v>
      </c>
      <c r="O37" s="14"/>
      <c r="P37" s="1">
        <f>SUM(OSRRefP22_2x_0)</f>
        <v>670.74</v>
      </c>
      <c r="Q37" s="1"/>
      <c r="R37" s="5">
        <f t="shared" ref="R37:R45" si="33">IF(P$12=0,0,P37/P$12)</f>
        <v>2.0993708460319907E-3</v>
      </c>
      <c r="S37" s="1"/>
      <c r="T37" s="1">
        <f>SUM(OSRRefT22_2x_0)</f>
        <v>139.35</v>
      </c>
      <c r="U37" s="1"/>
      <c r="V37" s="5">
        <f t="shared" ref="V37:V45" si="34">IF(T$12=0,0,T37/T$12)</f>
        <v>3.0873565714057832E-3</v>
      </c>
      <c r="W37" s="1"/>
      <c r="X37" s="1">
        <f t="shared" ref="X37:X45" si="35">+P37-T37</f>
        <v>531.39</v>
      </c>
      <c r="Y37" s="1"/>
      <c r="Z37" s="5">
        <f t="shared" ref="Z37:Z45" si="36">IF(T37=0,0,X37/T37)</f>
        <v>3.8133476856835307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239.22</v>
      </c>
      <c r="E38" s="2"/>
      <c r="F38" s="6">
        <f t="shared" si="29"/>
        <v>4.9558116120371414E-2</v>
      </c>
      <c r="G38" s="2"/>
      <c r="H38" s="7">
        <v>5.4</v>
      </c>
      <c r="I38" s="2"/>
      <c r="J38" s="6">
        <f t="shared" si="30"/>
        <v>0</v>
      </c>
      <c r="K38" s="2"/>
      <c r="L38" s="7">
        <f t="shared" si="31"/>
        <v>233.82</v>
      </c>
      <c r="M38" s="2"/>
      <c r="N38" s="6">
        <f t="shared" si="32"/>
        <v>43.3</v>
      </c>
      <c r="O38" s="11"/>
      <c r="P38" s="7">
        <v>670.74</v>
      </c>
      <c r="Q38" s="2"/>
      <c r="R38" s="6">
        <f t="shared" si="33"/>
        <v>2.0993708460319907E-3</v>
      </c>
      <c r="S38" s="2"/>
      <c r="T38" s="7">
        <v>139.35</v>
      </c>
      <c r="U38" s="2"/>
      <c r="V38" s="6">
        <f t="shared" si="34"/>
        <v>3.0873565714057832E-3</v>
      </c>
      <c r="W38" s="2"/>
      <c r="X38" s="7">
        <f t="shared" si="35"/>
        <v>531.39</v>
      </c>
      <c r="Y38" s="2"/>
      <c r="Z38" s="6">
        <f t="shared" si="36"/>
        <v>3.8133476856835307</v>
      </c>
    </row>
    <row r="39" spans="1:26" s="29" customFormat="1" outlineLevel="1" collapsed="1" x14ac:dyDescent="0.3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-0.49</v>
      </c>
      <c r="E39" s="1"/>
      <c r="F39" s="5">
        <f t="shared" si="29"/>
        <v>-1.0151106470605297E-4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-0.49</v>
      </c>
      <c r="M39" s="1"/>
      <c r="N39" s="5">
        <f t="shared" si="32"/>
        <v>0</v>
      </c>
      <c r="O39" s="14"/>
      <c r="P39" s="1">
        <f>SUM(OSRRefP22_3x_0)</f>
        <v>1.26</v>
      </c>
      <c r="Q39" s="1"/>
      <c r="R39" s="5">
        <f t="shared" si="33"/>
        <v>3.9437148015629134E-6</v>
      </c>
      <c r="S39" s="1"/>
      <c r="T39" s="1">
        <f>SUM(OSRRefT22_3x_0)</f>
        <v>8.7899999999999991</v>
      </c>
      <c r="U39" s="1"/>
      <c r="V39" s="5">
        <f t="shared" si="34"/>
        <v>1.9474606575282978E-4</v>
      </c>
      <c r="W39" s="1"/>
      <c r="X39" s="1">
        <f t="shared" si="35"/>
        <v>-7.5299999999999994</v>
      </c>
      <c r="Y39" s="1"/>
      <c r="Z39" s="5">
        <f t="shared" si="36"/>
        <v>-0.85665529010238906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7">
        <v>-0.49</v>
      </c>
      <c r="E40" s="2"/>
      <c r="F40" s="6">
        <f t="shared" si="29"/>
        <v>-1.0151106470605297E-4</v>
      </c>
      <c r="G40" s="2"/>
      <c r="H40" s="7"/>
      <c r="I40" s="2"/>
      <c r="J40" s="6">
        <f t="shared" si="30"/>
        <v>0</v>
      </c>
      <c r="K40" s="2"/>
      <c r="L40" s="7">
        <f t="shared" si="31"/>
        <v>-0.49</v>
      </c>
      <c r="M40" s="2"/>
      <c r="N40" s="6">
        <f t="shared" si="32"/>
        <v>0</v>
      </c>
      <c r="O40" s="11"/>
      <c r="P40" s="7">
        <v>1.26</v>
      </c>
      <c r="Q40" s="2"/>
      <c r="R40" s="6">
        <f t="shared" si="33"/>
        <v>3.9437148015629134E-6</v>
      </c>
      <c r="S40" s="2"/>
      <c r="T40" s="7">
        <v>8.7899999999999991</v>
      </c>
      <c r="U40" s="2"/>
      <c r="V40" s="6">
        <f t="shared" si="34"/>
        <v>1.9474606575282978E-4</v>
      </c>
      <c r="W40" s="2"/>
      <c r="X40" s="7">
        <f t="shared" si="35"/>
        <v>-7.5299999999999994</v>
      </c>
      <c r="Y40" s="2"/>
      <c r="Z40" s="6">
        <f t="shared" si="36"/>
        <v>-0.85665529010238906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152.91</v>
      </c>
      <c r="E41" s="1"/>
      <c r="F41" s="5">
        <f t="shared" si="29"/>
        <v>3.1677667151433796E-2</v>
      </c>
      <c r="G41" s="1"/>
      <c r="H41" s="1">
        <f>SUM(OSRRefH22_4x_0)</f>
        <v>179.1</v>
      </c>
      <c r="I41" s="1"/>
      <c r="J41" s="5">
        <f t="shared" si="30"/>
        <v>0</v>
      </c>
      <c r="K41" s="1"/>
      <c r="L41" s="1">
        <f t="shared" si="31"/>
        <v>-26.189999999999998</v>
      </c>
      <c r="M41" s="1"/>
      <c r="N41" s="5">
        <f t="shared" si="32"/>
        <v>-0.14623115577889445</v>
      </c>
      <c r="O41" s="14"/>
      <c r="P41" s="1">
        <f>SUM(OSRRefP22_4x_0)</f>
        <v>11447.91</v>
      </c>
      <c r="Q41" s="1"/>
      <c r="R41" s="5">
        <f t="shared" si="33"/>
        <v>3.583118421742864E-2</v>
      </c>
      <c r="S41" s="1"/>
      <c r="T41" s="1">
        <f>SUM(OSRRefT22_4x_0)</f>
        <v>1245.95</v>
      </c>
      <c r="U41" s="1"/>
      <c r="V41" s="5">
        <f t="shared" si="34"/>
        <v>2.7604534769594801E-2</v>
      </c>
      <c r="W41" s="1"/>
      <c r="X41" s="1">
        <f t="shared" si="35"/>
        <v>10201.959999999999</v>
      </c>
      <c r="Y41" s="1"/>
      <c r="Z41" s="5">
        <f t="shared" si="36"/>
        <v>8.1880974356916401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152.91</v>
      </c>
      <c r="E42" s="2"/>
      <c r="F42" s="6">
        <f t="shared" si="29"/>
        <v>3.1677667151433796E-2</v>
      </c>
      <c r="G42" s="2"/>
      <c r="H42" s="7">
        <v>179.1</v>
      </c>
      <c r="I42" s="2"/>
      <c r="J42" s="6">
        <f t="shared" si="30"/>
        <v>0</v>
      </c>
      <c r="K42" s="2"/>
      <c r="L42" s="7">
        <f t="shared" si="31"/>
        <v>-26.189999999999998</v>
      </c>
      <c r="M42" s="2"/>
      <c r="N42" s="6">
        <f t="shared" si="32"/>
        <v>-0.14623115577889445</v>
      </c>
      <c r="O42" s="11"/>
      <c r="P42" s="7">
        <v>11447.91</v>
      </c>
      <c r="Q42" s="2"/>
      <c r="R42" s="6">
        <f t="shared" si="33"/>
        <v>3.583118421742864E-2</v>
      </c>
      <c r="S42" s="2"/>
      <c r="T42" s="7">
        <v>1245.95</v>
      </c>
      <c r="U42" s="2"/>
      <c r="V42" s="6">
        <f t="shared" si="34"/>
        <v>2.7604534769594801E-2</v>
      </c>
      <c r="W42" s="2"/>
      <c r="X42" s="7">
        <f t="shared" si="35"/>
        <v>10201.959999999999</v>
      </c>
      <c r="Y42" s="2"/>
      <c r="Z42" s="6">
        <f t="shared" si="36"/>
        <v>8.1880974356916401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9"/>
        <v>2.9018367287748652</v>
      </c>
      <c r="G43" s="1"/>
      <c r="H43" s="1">
        <f>SUM(OSRRefH22_5x_0)</f>
        <v>13902.32</v>
      </c>
      <c r="I43" s="1"/>
      <c r="J43" s="5">
        <f t="shared" si="30"/>
        <v>0</v>
      </c>
      <c r="K43" s="1"/>
      <c r="L43" s="1">
        <f t="shared" si="31"/>
        <v>105.02000000000044</v>
      </c>
      <c r="M43" s="1"/>
      <c r="N43" s="5">
        <f t="shared" si="32"/>
        <v>7.5541348494352336E-3</v>
      </c>
      <c r="O43" s="14"/>
      <c r="P43" s="1">
        <f>SUM(OSRRefP22_5x_0)</f>
        <v>98051.38</v>
      </c>
      <c r="Q43" s="1"/>
      <c r="R43" s="5">
        <f t="shared" si="33"/>
        <v>0.30689418938069035</v>
      </c>
      <c r="S43" s="1"/>
      <c r="T43" s="1">
        <f>SUM(OSRRefT22_5x_0)</f>
        <v>97281.52</v>
      </c>
      <c r="U43" s="1"/>
      <c r="V43" s="5">
        <f t="shared" si="34"/>
        <v>2.1553120922019602</v>
      </c>
      <c r="W43" s="1"/>
      <c r="X43" s="1">
        <f t="shared" si="35"/>
        <v>769.86000000000058</v>
      </c>
      <c r="Y43" s="1"/>
      <c r="Z43" s="5">
        <f t="shared" si="36"/>
        <v>7.9137332558126203E-3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7">
        <v>10597.26</v>
      </c>
      <c r="E44" s="2"/>
      <c r="F44" s="6">
        <f t="shared" si="29"/>
        <v>2.1953860113609531</v>
      </c>
      <c r="G44" s="2"/>
      <c r="H44" s="7">
        <v>10597.26</v>
      </c>
      <c r="I44" s="2"/>
      <c r="J44" s="6">
        <f t="shared" si="30"/>
        <v>0</v>
      </c>
      <c r="K44" s="2"/>
      <c r="L44" s="7">
        <f t="shared" si="31"/>
        <v>0</v>
      </c>
      <c r="M44" s="2"/>
      <c r="N44" s="6">
        <f t="shared" si="32"/>
        <v>0</v>
      </c>
      <c r="O44" s="11"/>
      <c r="P44" s="7">
        <v>74180.820000000007</v>
      </c>
      <c r="Q44" s="2"/>
      <c r="R44" s="6">
        <f t="shared" si="33"/>
        <v>0.23218095065561445</v>
      </c>
      <c r="S44" s="2"/>
      <c r="T44" s="7">
        <v>74180.820000000007</v>
      </c>
      <c r="U44" s="2"/>
      <c r="V44" s="6">
        <f t="shared" si="34"/>
        <v>1.6435065812649414</v>
      </c>
      <c r="W44" s="2"/>
      <c r="X44" s="7">
        <f t="shared" si="35"/>
        <v>0</v>
      </c>
      <c r="Y44" s="2"/>
      <c r="Z44" s="6">
        <f t="shared" si="36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3410.08</v>
      </c>
      <c r="E45" s="2"/>
      <c r="F45" s="6">
        <f t="shared" si="29"/>
        <v>0.70645071741391241</v>
      </c>
      <c r="G45" s="2"/>
      <c r="H45" s="7">
        <v>3305.06</v>
      </c>
      <c r="I45" s="2"/>
      <c r="J45" s="6">
        <f t="shared" si="30"/>
        <v>0</v>
      </c>
      <c r="K45" s="2"/>
      <c r="L45" s="7">
        <f t="shared" si="31"/>
        <v>105.01999999999998</v>
      </c>
      <c r="M45" s="2"/>
      <c r="N45" s="6">
        <f t="shared" si="32"/>
        <v>3.177551996030329E-2</v>
      </c>
      <c r="O45" s="11"/>
      <c r="P45" s="7">
        <v>23870.560000000001</v>
      </c>
      <c r="Q45" s="2"/>
      <c r="R45" s="6">
        <f t="shared" si="33"/>
        <v>7.4713238725075889E-2</v>
      </c>
      <c r="S45" s="2"/>
      <c r="T45" s="7">
        <v>23100.7</v>
      </c>
      <c r="U45" s="2"/>
      <c r="V45" s="6">
        <f t="shared" si="34"/>
        <v>0.51180551093701887</v>
      </c>
      <c r="W45" s="2"/>
      <c r="X45" s="7">
        <f t="shared" si="35"/>
        <v>769.86000000000058</v>
      </c>
      <c r="Y45" s="2"/>
      <c r="Z45" s="6">
        <f t="shared" si="36"/>
        <v>3.332626284052001E-2</v>
      </c>
    </row>
    <row r="46" spans="1:26" s="29" customFormat="1" outlineLevel="1" collapsed="1" x14ac:dyDescent="0.3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8" si="37">IF(D$12=0,0,D46/D$12)</f>
        <v>0</v>
      </c>
      <c r="G46" s="1"/>
      <c r="H46" s="1">
        <f>SUM(OSRRefH22_6x_0)</f>
        <v>0</v>
      </c>
      <c r="I46" s="1"/>
      <c r="J46" s="5">
        <f t="shared" ref="J46:J58" si="38">IF(H$12=0,0,H46/H$12)</f>
        <v>0</v>
      </c>
      <c r="K46" s="1"/>
      <c r="L46" s="1">
        <f t="shared" ref="L46:L58" si="39">+D46-H46</f>
        <v>0</v>
      </c>
      <c r="M46" s="1"/>
      <c r="N46" s="5">
        <f t="shared" ref="N46:N58" si="40">IF(H46=0,0,L46/H46)</f>
        <v>0</v>
      </c>
      <c r="O46" s="14"/>
      <c r="P46" s="1">
        <f>SUM(OSRRefP22_6x_0)</f>
        <v>0</v>
      </c>
      <c r="Q46" s="1"/>
      <c r="R46" s="5">
        <f t="shared" ref="R46:R58" si="41">IF(P$12=0,0,P46/P$12)</f>
        <v>0</v>
      </c>
      <c r="S46" s="1"/>
      <c r="T46" s="1">
        <f>SUM(OSRRefT22_6x_0)</f>
        <v>10</v>
      </c>
      <c r="U46" s="1"/>
      <c r="V46" s="5">
        <f t="shared" ref="V46:V58" si="42">IF(T$12=0,0,T46/T$12)</f>
        <v>2.2155411348444802E-4</v>
      </c>
      <c r="W46" s="1"/>
      <c r="X46" s="1">
        <f t="shared" ref="X46:X58" si="43">+P46-T46</f>
        <v>-10</v>
      </c>
      <c r="Y46" s="1"/>
      <c r="Z46" s="5">
        <f t="shared" ref="Z46:Z58" si="44">IF(T46=0,0,X46/T46)</f>
        <v>-1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7"/>
        <v>0</v>
      </c>
      <c r="G47" s="2"/>
      <c r="H47" s="7"/>
      <c r="I47" s="2"/>
      <c r="J47" s="6">
        <f t="shared" si="38"/>
        <v>0</v>
      </c>
      <c r="K47" s="2"/>
      <c r="L47" s="7">
        <f t="shared" si="39"/>
        <v>0</v>
      </c>
      <c r="M47" s="2"/>
      <c r="N47" s="6">
        <f t="shared" si="40"/>
        <v>0</v>
      </c>
      <c r="O47" s="11"/>
      <c r="P47" s="7"/>
      <c r="Q47" s="2"/>
      <c r="R47" s="6">
        <f t="shared" si="41"/>
        <v>0</v>
      </c>
      <c r="S47" s="2"/>
      <c r="T47" s="7">
        <v>10</v>
      </c>
      <c r="U47" s="2"/>
      <c r="V47" s="6">
        <f t="shared" si="42"/>
        <v>2.2155411348444802E-4</v>
      </c>
      <c r="W47" s="2"/>
      <c r="X47" s="7">
        <f t="shared" si="43"/>
        <v>-10</v>
      </c>
      <c r="Y47" s="2"/>
      <c r="Z47" s="6">
        <f t="shared" si="44"/>
        <v>-1</v>
      </c>
    </row>
    <row r="48" spans="1:26" s="29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225.29</v>
      </c>
      <c r="E48" s="1"/>
      <c r="F48" s="5">
        <f t="shared" si="37"/>
        <v>4.6672301566585049E-2</v>
      </c>
      <c r="G48" s="1"/>
      <c r="H48" s="1">
        <f>SUM(OSRRefH22_7x_0)</f>
        <v>0</v>
      </c>
      <c r="I48" s="1"/>
      <c r="J48" s="5">
        <f t="shared" si="38"/>
        <v>0</v>
      </c>
      <c r="K48" s="1"/>
      <c r="L48" s="1">
        <f t="shared" si="39"/>
        <v>225.29</v>
      </c>
      <c r="M48" s="1"/>
      <c r="N48" s="5">
        <f t="shared" si="40"/>
        <v>0</v>
      </c>
      <c r="O48" s="14"/>
      <c r="P48" s="1">
        <f>SUM(OSRRefP22_7x_0)</f>
        <v>2010.05</v>
      </c>
      <c r="Q48" s="1"/>
      <c r="R48" s="5">
        <f t="shared" si="41"/>
        <v>6.2913205848266138E-3</v>
      </c>
      <c r="S48" s="1"/>
      <c r="T48" s="1">
        <f>SUM(OSRRefT22_7x_0)</f>
        <v>1000.07</v>
      </c>
      <c r="U48" s="1"/>
      <c r="V48" s="5">
        <f t="shared" si="42"/>
        <v>2.2156962227239195E-2</v>
      </c>
      <c r="W48" s="1"/>
      <c r="X48" s="1">
        <f t="shared" si="43"/>
        <v>1009.9799999999999</v>
      </c>
      <c r="Y48" s="1"/>
      <c r="Z48" s="5">
        <f t="shared" si="44"/>
        <v>1.0099093063485554</v>
      </c>
    </row>
    <row r="49" spans="1:26" s="24" customFormat="1" hidden="1" outlineLevel="2" x14ac:dyDescent="0.3">
      <c r="A49" s="27"/>
      <c r="B49" s="11" t="str">
        <f>CONCATENATE("          ", "6351", " - ", "EQUIPMENT RENTAL")</f>
        <v xml:space="preserve">          6351 - EQUIPMENT RENTAL</v>
      </c>
      <c r="C49" s="11"/>
      <c r="D49" s="7">
        <v>225.29</v>
      </c>
      <c r="E49" s="2"/>
      <c r="F49" s="6">
        <f t="shared" si="37"/>
        <v>4.6672301566585049E-2</v>
      </c>
      <c r="G49" s="2"/>
      <c r="H49" s="7"/>
      <c r="I49" s="2"/>
      <c r="J49" s="6">
        <f t="shared" si="38"/>
        <v>0</v>
      </c>
      <c r="K49" s="2"/>
      <c r="L49" s="7">
        <f t="shared" si="39"/>
        <v>225.29</v>
      </c>
      <c r="M49" s="2"/>
      <c r="N49" s="6">
        <f t="shared" si="40"/>
        <v>0</v>
      </c>
      <c r="O49" s="11"/>
      <c r="P49" s="7">
        <v>2010.05</v>
      </c>
      <c r="Q49" s="2"/>
      <c r="R49" s="6">
        <f t="shared" si="41"/>
        <v>6.2913205848266138E-3</v>
      </c>
      <c r="S49" s="2"/>
      <c r="T49" s="7">
        <v>1000.07</v>
      </c>
      <c r="U49" s="2"/>
      <c r="V49" s="6">
        <f t="shared" si="42"/>
        <v>2.2156962227239195E-2</v>
      </c>
      <c r="W49" s="2"/>
      <c r="X49" s="7">
        <f t="shared" si="43"/>
        <v>1009.9799999999999</v>
      </c>
      <c r="Y49" s="2"/>
      <c r="Z49" s="6">
        <f t="shared" si="44"/>
        <v>1.0099093063485554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7"/>
        <v>0</v>
      </c>
      <c r="G50" s="1"/>
      <c r="H50" s="1">
        <f>SUM(OSRRefH22_8x_0)</f>
        <v>0</v>
      </c>
      <c r="I50" s="1"/>
      <c r="J50" s="5">
        <f t="shared" si="38"/>
        <v>0</v>
      </c>
      <c r="K50" s="1"/>
      <c r="L50" s="1">
        <f t="shared" si="39"/>
        <v>0</v>
      </c>
      <c r="M50" s="1"/>
      <c r="N50" s="5">
        <f t="shared" si="40"/>
        <v>0</v>
      </c>
      <c r="O50" s="14"/>
      <c r="P50" s="1">
        <f>SUM(OSRRefP22_8x_0)</f>
        <v>1520.97</v>
      </c>
      <c r="Q50" s="1"/>
      <c r="R50" s="5">
        <f t="shared" si="41"/>
        <v>4.7605332553437652E-3</v>
      </c>
      <c r="S50" s="1"/>
      <c r="T50" s="1">
        <f>SUM(OSRRefT22_8x_0)</f>
        <v>2410.0700000000002</v>
      </c>
      <c r="U50" s="1"/>
      <c r="V50" s="5">
        <f t="shared" si="42"/>
        <v>5.3396092228546368E-2</v>
      </c>
      <c r="W50" s="1"/>
      <c r="X50" s="1">
        <f t="shared" si="43"/>
        <v>-889.10000000000014</v>
      </c>
      <c r="Y50" s="1"/>
      <c r="Z50" s="5">
        <f t="shared" si="44"/>
        <v>-0.36891044658453909</v>
      </c>
    </row>
    <row r="51" spans="1:26" s="24" customFormat="1" hidden="1" outlineLevel="2" x14ac:dyDescent="0.3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7"/>
        <v>0</v>
      </c>
      <c r="G51" s="2"/>
      <c r="H51" s="7"/>
      <c r="I51" s="2"/>
      <c r="J51" s="6">
        <f t="shared" si="38"/>
        <v>0</v>
      </c>
      <c r="K51" s="2"/>
      <c r="L51" s="7">
        <f t="shared" si="39"/>
        <v>0</v>
      </c>
      <c r="M51" s="2"/>
      <c r="N51" s="6">
        <f t="shared" si="40"/>
        <v>0</v>
      </c>
      <c r="O51" s="11"/>
      <c r="P51" s="7">
        <v>1520.97</v>
      </c>
      <c r="Q51" s="2"/>
      <c r="R51" s="6">
        <f t="shared" si="41"/>
        <v>4.7605332553437652E-3</v>
      </c>
      <c r="S51" s="2"/>
      <c r="T51" s="7">
        <v>2410.0700000000002</v>
      </c>
      <c r="U51" s="2"/>
      <c r="V51" s="6">
        <f t="shared" si="42"/>
        <v>5.3396092228546368E-2</v>
      </c>
      <c r="W51" s="2"/>
      <c r="X51" s="7">
        <f t="shared" si="43"/>
        <v>-889.10000000000014</v>
      </c>
      <c r="Y51" s="2"/>
      <c r="Z51" s="6">
        <f t="shared" si="44"/>
        <v>-0.36891044658453909</v>
      </c>
    </row>
    <row r="52" spans="1:26" s="29" customFormat="1" outlineLevel="1" collapsed="1" x14ac:dyDescent="0.3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SUM(OSRRefD22_9x_0)</f>
        <v>871.61</v>
      </c>
      <c r="E52" s="1"/>
      <c r="F52" s="5">
        <f t="shared" si="37"/>
        <v>0.18056746756825068</v>
      </c>
      <c r="G52" s="1"/>
      <c r="H52" s="1">
        <f>SUM(OSRRefH22_9x_0)</f>
        <v>641.28</v>
      </c>
      <c r="I52" s="1"/>
      <c r="J52" s="5">
        <f t="shared" si="38"/>
        <v>0</v>
      </c>
      <c r="K52" s="1"/>
      <c r="L52" s="1">
        <f t="shared" si="39"/>
        <v>230.33000000000004</v>
      </c>
      <c r="M52" s="1"/>
      <c r="N52" s="5">
        <f t="shared" si="40"/>
        <v>0.35917228043912186</v>
      </c>
      <c r="O52" s="14"/>
      <c r="P52" s="1">
        <f>SUM(OSRRefP22_9x_0)</f>
        <v>6101.27</v>
      </c>
      <c r="Q52" s="1"/>
      <c r="R52" s="5">
        <f t="shared" si="41"/>
        <v>1.9096562545501395E-2</v>
      </c>
      <c r="S52" s="1"/>
      <c r="T52" s="1">
        <f>SUM(OSRRefT22_9x_0)</f>
        <v>4488.96</v>
      </c>
      <c r="U52" s="1"/>
      <c r="V52" s="5">
        <f t="shared" si="42"/>
        <v>9.9454755326714786E-2</v>
      </c>
      <c r="W52" s="1"/>
      <c r="X52" s="1">
        <f t="shared" si="43"/>
        <v>1612.3100000000004</v>
      </c>
      <c r="Y52" s="1"/>
      <c r="Z52" s="5">
        <f t="shared" si="44"/>
        <v>0.35917228043912186</v>
      </c>
    </row>
    <row r="53" spans="1:26" s="24" customFormat="1" hidden="1" outlineLevel="2" x14ac:dyDescent="0.3">
      <c r="A53" s="27"/>
      <c r="B53" s="11" t="str">
        <f>CONCATENATE("          ", "6314", " - ", "LIABILITY INSURANCE")</f>
        <v xml:space="preserve">          6314 - LIABILITY INSURANCE</v>
      </c>
      <c r="C53" s="11"/>
      <c r="D53" s="7">
        <v>871.61</v>
      </c>
      <c r="E53" s="2"/>
      <c r="F53" s="6">
        <f t="shared" si="37"/>
        <v>0.18056746756825068</v>
      </c>
      <c r="G53" s="2"/>
      <c r="H53" s="7">
        <v>641.28</v>
      </c>
      <c r="I53" s="2"/>
      <c r="J53" s="6">
        <f t="shared" si="38"/>
        <v>0</v>
      </c>
      <c r="K53" s="2"/>
      <c r="L53" s="7">
        <f t="shared" si="39"/>
        <v>230.33000000000004</v>
      </c>
      <c r="M53" s="2"/>
      <c r="N53" s="6">
        <f t="shared" si="40"/>
        <v>0.35917228043912186</v>
      </c>
      <c r="O53" s="11"/>
      <c r="P53" s="7">
        <v>6101.27</v>
      </c>
      <c r="Q53" s="2"/>
      <c r="R53" s="6">
        <f t="shared" si="41"/>
        <v>1.9096562545501395E-2</v>
      </c>
      <c r="S53" s="2"/>
      <c r="T53" s="7">
        <v>4488.96</v>
      </c>
      <c r="U53" s="2"/>
      <c r="V53" s="6">
        <f t="shared" si="42"/>
        <v>9.9454755326714786E-2</v>
      </c>
      <c r="W53" s="2"/>
      <c r="X53" s="7">
        <f t="shared" si="43"/>
        <v>1612.3100000000004</v>
      </c>
      <c r="Y53" s="2"/>
      <c r="Z53" s="6">
        <f t="shared" si="44"/>
        <v>0.35917228043912186</v>
      </c>
    </row>
    <row r="54" spans="1:26" s="29" customFormat="1" outlineLevel="1" collapsed="1" x14ac:dyDescent="0.3">
      <c r="A54" s="28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SUM(OSRRefD22_10x_0)</f>
        <v>7253</v>
      </c>
      <c r="E54" s="1"/>
      <c r="F54" s="5">
        <f t="shared" si="37"/>
        <v>1.5025709230877595</v>
      </c>
      <c r="G54" s="1"/>
      <c r="H54" s="1">
        <f>SUM(OSRRefH22_10x_0)</f>
        <v>7510</v>
      </c>
      <c r="I54" s="1"/>
      <c r="J54" s="5">
        <f t="shared" si="38"/>
        <v>0</v>
      </c>
      <c r="K54" s="1"/>
      <c r="L54" s="1">
        <f t="shared" si="39"/>
        <v>-257</v>
      </c>
      <c r="M54" s="1"/>
      <c r="N54" s="5">
        <f t="shared" si="40"/>
        <v>-3.4221038615179764E-2</v>
      </c>
      <c r="O54" s="14"/>
      <c r="P54" s="1">
        <f>SUM(OSRRefP22_10x_0)</f>
        <v>50257</v>
      </c>
      <c r="Q54" s="1"/>
      <c r="R54" s="5">
        <f t="shared" si="41"/>
        <v>0.15730101173186295</v>
      </c>
      <c r="S54" s="1"/>
      <c r="T54" s="1">
        <f>SUM(OSRRefT22_10x_0)</f>
        <v>52083.15</v>
      </c>
      <c r="U54" s="1"/>
      <c r="V54" s="5">
        <f t="shared" si="42"/>
        <v>1.153923612572753</v>
      </c>
      <c r="W54" s="1"/>
      <c r="X54" s="1">
        <f t="shared" si="43"/>
        <v>-1826.1500000000015</v>
      </c>
      <c r="Y54" s="1"/>
      <c r="Z54" s="5">
        <f t="shared" si="44"/>
        <v>-3.5062203418956064E-2</v>
      </c>
    </row>
    <row r="55" spans="1:26" s="24" customFormat="1" hidden="1" outlineLevel="2" x14ac:dyDescent="0.3">
      <c r="A55" s="27"/>
      <c r="B55" s="11" t="str">
        <f>CONCATENATE("          ", "6401", " - ", "INTEREST EXPENSE")</f>
        <v xml:space="preserve">          6401 - INTEREST EXPENSE</v>
      </c>
      <c r="C55" s="11"/>
      <c r="D55" s="7">
        <v>7253</v>
      </c>
      <c r="E55" s="2"/>
      <c r="F55" s="6">
        <f t="shared" si="37"/>
        <v>1.5025709230877595</v>
      </c>
      <c r="G55" s="2"/>
      <c r="H55" s="7">
        <v>7510</v>
      </c>
      <c r="I55" s="2"/>
      <c r="J55" s="6">
        <f t="shared" si="38"/>
        <v>0</v>
      </c>
      <c r="K55" s="2"/>
      <c r="L55" s="7">
        <f t="shared" si="39"/>
        <v>-257</v>
      </c>
      <c r="M55" s="2"/>
      <c r="N55" s="6">
        <f t="shared" si="40"/>
        <v>-3.4221038615179764E-2</v>
      </c>
      <c r="O55" s="11"/>
      <c r="P55" s="7">
        <v>50257</v>
      </c>
      <c r="Q55" s="2"/>
      <c r="R55" s="6">
        <f t="shared" si="41"/>
        <v>0.15730101173186295</v>
      </c>
      <c r="S55" s="2"/>
      <c r="T55" s="7">
        <v>52083.15</v>
      </c>
      <c r="U55" s="2"/>
      <c r="V55" s="6">
        <f t="shared" si="42"/>
        <v>1.153923612572753</v>
      </c>
      <c r="W55" s="2"/>
      <c r="X55" s="7">
        <f t="shared" si="43"/>
        <v>-1826.1500000000015</v>
      </c>
      <c r="Y55" s="2"/>
      <c r="Z55" s="6">
        <f t="shared" si="44"/>
        <v>-3.5062203418956064E-2</v>
      </c>
    </row>
    <row r="56" spans="1:26" s="29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SUM(OSRRefD22_11x_0)</f>
        <v>838.05</v>
      </c>
      <c r="E56" s="1"/>
      <c r="F56" s="5">
        <f t="shared" si="37"/>
        <v>0.1736149954630769</v>
      </c>
      <c r="G56" s="1"/>
      <c r="H56" s="1">
        <f>SUM(OSRRefH22_11x_0)</f>
        <v>2871.11</v>
      </c>
      <c r="I56" s="1"/>
      <c r="J56" s="5">
        <f t="shared" si="38"/>
        <v>0</v>
      </c>
      <c r="K56" s="1"/>
      <c r="L56" s="1">
        <f t="shared" si="39"/>
        <v>-2033.0600000000002</v>
      </c>
      <c r="M56" s="1"/>
      <c r="N56" s="5">
        <f t="shared" si="40"/>
        <v>-0.70810940716308335</v>
      </c>
      <c r="O56" s="14"/>
      <c r="P56" s="1">
        <f>SUM(OSRRefP22_11x_0)</f>
        <v>22077.71</v>
      </c>
      <c r="Q56" s="1"/>
      <c r="R56" s="5">
        <f t="shared" si="41"/>
        <v>6.9101739453661548E-2</v>
      </c>
      <c r="S56" s="1"/>
      <c r="T56" s="1">
        <f>SUM(OSRRefT22_11x_0)</f>
        <v>15442.7</v>
      </c>
      <c r="U56" s="1"/>
      <c r="V56" s="5">
        <f t="shared" si="42"/>
        <v>0.34213937083062856</v>
      </c>
      <c r="W56" s="1"/>
      <c r="X56" s="1">
        <f t="shared" si="43"/>
        <v>6635.0099999999984</v>
      </c>
      <c r="Y56" s="1"/>
      <c r="Z56" s="5">
        <f t="shared" si="44"/>
        <v>0.42965349323628627</v>
      </c>
    </row>
    <row r="57" spans="1:26" s="24" customFormat="1" hidden="1" outlineLevel="2" x14ac:dyDescent="0.3">
      <c r="A57" s="27"/>
      <c r="B57" s="11" t="str">
        <f>CONCATENATE("          ", "6373", " - ", "MAINTENANCE CONTRACTS")</f>
        <v xml:space="preserve">          6373 - MAINTENANCE CONTRACTS</v>
      </c>
      <c r="C57" s="11"/>
      <c r="D57" s="7">
        <v>441</v>
      </c>
      <c r="E57" s="2"/>
      <c r="F57" s="6">
        <f t="shared" si="37"/>
        <v>9.135995823544768E-2</v>
      </c>
      <c r="G57" s="2"/>
      <c r="H57" s="7"/>
      <c r="I57" s="2"/>
      <c r="J57" s="6">
        <f t="shared" si="38"/>
        <v>0</v>
      </c>
      <c r="K57" s="2"/>
      <c r="L57" s="7">
        <f t="shared" si="39"/>
        <v>441</v>
      </c>
      <c r="M57" s="2"/>
      <c r="N57" s="6">
        <f t="shared" si="40"/>
        <v>0</v>
      </c>
      <c r="O57" s="11"/>
      <c r="P57" s="7">
        <v>3089.48</v>
      </c>
      <c r="Q57" s="2"/>
      <c r="R57" s="6">
        <f t="shared" si="41"/>
        <v>9.669863496136976E-3</v>
      </c>
      <c r="S57" s="2"/>
      <c r="T57" s="7">
        <v>6596.34</v>
      </c>
      <c r="U57" s="2"/>
      <c r="V57" s="6">
        <f t="shared" si="42"/>
        <v>0.1461446260942004</v>
      </c>
      <c r="W57" s="2"/>
      <c r="X57" s="7">
        <f t="shared" si="43"/>
        <v>-3506.86</v>
      </c>
      <c r="Y57" s="2"/>
      <c r="Z57" s="6">
        <f t="shared" si="44"/>
        <v>-0.53163724125803102</v>
      </c>
    </row>
    <row r="58" spans="1:26" s="24" customFormat="1" hidden="1" outlineLevel="2" x14ac:dyDescent="0.3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397.05</v>
      </c>
      <c r="E58" s="2"/>
      <c r="F58" s="6">
        <f t="shared" si="37"/>
        <v>8.2255037227629252E-2</v>
      </c>
      <c r="G58" s="2"/>
      <c r="H58" s="7">
        <v>2871.11</v>
      </c>
      <c r="I58" s="2"/>
      <c r="J58" s="6">
        <f t="shared" si="38"/>
        <v>0</v>
      </c>
      <c r="K58" s="2"/>
      <c r="L58" s="7">
        <f t="shared" si="39"/>
        <v>-2474.06</v>
      </c>
      <c r="M58" s="2"/>
      <c r="N58" s="6">
        <f t="shared" si="40"/>
        <v>-0.86170853781290158</v>
      </c>
      <c r="O58" s="11"/>
      <c r="P58" s="7">
        <v>18988.23</v>
      </c>
      <c r="Q58" s="2"/>
      <c r="R58" s="6">
        <f t="shared" si="41"/>
        <v>5.9431875957524569E-2</v>
      </c>
      <c r="S58" s="2"/>
      <c r="T58" s="7">
        <v>8846.36</v>
      </c>
      <c r="U58" s="2"/>
      <c r="V58" s="6">
        <f t="shared" si="42"/>
        <v>0.19599474473642817</v>
      </c>
      <c r="W58" s="2"/>
      <c r="X58" s="7">
        <f t="shared" si="43"/>
        <v>10141.869999999999</v>
      </c>
      <c r="Y58" s="2"/>
      <c r="Z58" s="6">
        <f t="shared" si="44"/>
        <v>1.146445543703851</v>
      </c>
    </row>
    <row r="59" spans="1:26" s="29" customFormat="1" outlineLevel="1" collapsed="1" x14ac:dyDescent="0.3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SUM(OSRRefD22_12x_0)</f>
        <v>3545.12</v>
      </c>
      <c r="E59" s="1"/>
      <c r="F59" s="5">
        <f t="shared" ref="F59:F63" si="45">IF(D$12=0,0,D59/D$12)</f>
        <v>0.73442633818514791</v>
      </c>
      <c r="G59" s="1"/>
      <c r="H59" s="1">
        <f>SUM(OSRRefH22_12x_0)</f>
        <v>2314.16</v>
      </c>
      <c r="I59" s="1"/>
      <c r="J59" s="5">
        <f t="shared" ref="J59:J63" si="46">IF(H$12=0,0,H59/H$12)</f>
        <v>0</v>
      </c>
      <c r="K59" s="1"/>
      <c r="L59" s="1">
        <f t="shared" ref="L59:L63" si="47">+D59-H59</f>
        <v>1230.96</v>
      </c>
      <c r="M59" s="1"/>
      <c r="N59" s="5">
        <f t="shared" ref="N59:N63" si="48">IF(H59=0,0,L59/H59)</f>
        <v>0.5319251909980296</v>
      </c>
      <c r="O59" s="14"/>
      <c r="P59" s="1">
        <f>SUM(OSRRefP22_12x_0)</f>
        <v>32655.96</v>
      </c>
      <c r="Q59" s="1"/>
      <c r="R59" s="5">
        <f t="shared" ref="R59:R63" si="49">IF(P$12=0,0,P59/P$12)</f>
        <v>0.10221094667559241</v>
      </c>
      <c r="S59" s="1"/>
      <c r="T59" s="1">
        <f>SUM(OSRRefT22_12x_0)</f>
        <v>22784.18</v>
      </c>
      <c r="U59" s="1"/>
      <c r="V59" s="5">
        <f t="shared" ref="V59:V63" si="50">IF(T$12=0,0,T59/T$12)</f>
        <v>0.50479288013700907</v>
      </c>
      <c r="W59" s="1"/>
      <c r="X59" s="1">
        <f t="shared" ref="X59:X63" si="51">+P59-T59</f>
        <v>9871.7799999999988</v>
      </c>
      <c r="Y59" s="1"/>
      <c r="Z59" s="5">
        <f t="shared" ref="Z59:Z63" si="52">IF(T59=0,0,X59/T59)</f>
        <v>0.43327343797319012</v>
      </c>
    </row>
    <row r="60" spans="1:26" s="24" customFormat="1" hidden="1" outlineLevel="2" x14ac:dyDescent="0.3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5"/>
        <v>0</v>
      </c>
      <c r="G60" s="2"/>
      <c r="H60" s="7">
        <v>1314.16</v>
      </c>
      <c r="I60" s="2"/>
      <c r="J60" s="6">
        <f t="shared" si="46"/>
        <v>0</v>
      </c>
      <c r="K60" s="2"/>
      <c r="L60" s="7">
        <f t="shared" si="47"/>
        <v>-1314.16</v>
      </c>
      <c r="M60" s="2"/>
      <c r="N60" s="6">
        <f t="shared" si="48"/>
        <v>-1</v>
      </c>
      <c r="O60" s="11"/>
      <c r="P60" s="7">
        <v>2109.3000000000002</v>
      </c>
      <c r="Q60" s="2"/>
      <c r="R60" s="6">
        <f t="shared" si="49"/>
        <v>6.6019663737592492E-3</v>
      </c>
      <c r="S60" s="2"/>
      <c r="T60" s="7">
        <v>2780.19</v>
      </c>
      <c r="U60" s="2"/>
      <c r="V60" s="6">
        <f t="shared" si="50"/>
        <v>6.1596253076832759E-2</v>
      </c>
      <c r="W60" s="2"/>
      <c r="X60" s="7">
        <f t="shared" si="51"/>
        <v>-670.88999999999987</v>
      </c>
      <c r="Y60" s="2"/>
      <c r="Z60" s="6">
        <f t="shared" si="52"/>
        <v>-0.24131084566162739</v>
      </c>
    </row>
    <row r="61" spans="1:26" s="24" customFormat="1" hidden="1" outlineLevel="2" x14ac:dyDescent="0.3">
      <c r="A61" s="27"/>
      <c r="B61" s="11" t="str">
        <f>CONCATENATE("          ", "6284", " - ", "TRASH REMOVAL EXPENSE")</f>
        <v xml:space="preserve">          6284 - TRASH REMOVAL EXPENSE</v>
      </c>
      <c r="C61" s="11"/>
      <c r="D61" s="7"/>
      <c r="E61" s="2"/>
      <c r="F61" s="6">
        <f t="shared" si="45"/>
        <v>0</v>
      </c>
      <c r="G61" s="2"/>
      <c r="H61" s="7">
        <v>1000</v>
      </c>
      <c r="I61" s="2"/>
      <c r="J61" s="6">
        <f t="shared" si="46"/>
        <v>0</v>
      </c>
      <c r="K61" s="2"/>
      <c r="L61" s="7">
        <f t="shared" si="47"/>
        <v>-1000</v>
      </c>
      <c r="M61" s="2"/>
      <c r="N61" s="6">
        <f t="shared" si="48"/>
        <v>-1</v>
      </c>
      <c r="O61" s="11"/>
      <c r="P61" s="7"/>
      <c r="Q61" s="2"/>
      <c r="R61" s="6">
        <f t="shared" si="49"/>
        <v>0</v>
      </c>
      <c r="S61" s="2"/>
      <c r="T61" s="7">
        <v>6761</v>
      </c>
      <c r="U61" s="2"/>
      <c r="V61" s="6">
        <f t="shared" si="50"/>
        <v>0.1497927361268353</v>
      </c>
      <c r="W61" s="2"/>
      <c r="X61" s="7">
        <f t="shared" si="51"/>
        <v>-6761</v>
      </c>
      <c r="Y61" s="2"/>
      <c r="Z61" s="6">
        <f t="shared" si="52"/>
        <v>-1</v>
      </c>
    </row>
    <row r="62" spans="1:26" s="24" customFormat="1" hidden="1" outlineLevel="2" x14ac:dyDescent="0.3">
      <c r="A62" s="27"/>
      <c r="B62" s="11" t="str">
        <f>CONCATENATE("          ", "6285", " - ", "JANITORIAL SERVICES")</f>
        <v xml:space="preserve">          6285 - JANITORIAL SERVICES</v>
      </c>
      <c r="C62" s="11"/>
      <c r="D62" s="7">
        <v>3385.52</v>
      </c>
      <c r="E62" s="2"/>
      <c r="F62" s="6">
        <f t="shared" si="45"/>
        <v>0.70136273425231932</v>
      </c>
      <c r="G62" s="2"/>
      <c r="H62" s="7">
        <v>0</v>
      </c>
      <c r="I62" s="2"/>
      <c r="J62" s="6">
        <f t="shared" si="46"/>
        <v>0</v>
      </c>
      <c r="K62" s="2"/>
      <c r="L62" s="7">
        <f t="shared" si="47"/>
        <v>3385.52</v>
      </c>
      <c r="M62" s="2"/>
      <c r="N62" s="6">
        <f t="shared" si="48"/>
        <v>0</v>
      </c>
      <c r="O62" s="11"/>
      <c r="P62" s="7">
        <v>28739</v>
      </c>
      <c r="Q62" s="2"/>
      <c r="R62" s="6">
        <f t="shared" si="49"/>
        <v>8.995112673183854E-2</v>
      </c>
      <c r="S62" s="2"/>
      <c r="T62" s="7">
        <v>12770.81</v>
      </c>
      <c r="U62" s="2"/>
      <c r="V62" s="6">
        <f t="shared" si="50"/>
        <v>0.28294254880283237</v>
      </c>
      <c r="W62" s="2"/>
      <c r="X62" s="7">
        <f t="shared" si="51"/>
        <v>15968.19</v>
      </c>
      <c r="Y62" s="2"/>
      <c r="Z62" s="6">
        <f t="shared" si="52"/>
        <v>1.2503662649432574</v>
      </c>
    </row>
    <row r="63" spans="1:26" s="24" customFormat="1" hidden="1" outlineLevel="2" x14ac:dyDescent="0.3">
      <c r="A63" s="27"/>
      <c r="B63" s="11" t="str">
        <f>CONCATENATE("          ", "6286", " - ", "LAUNDRY EXPENSE")</f>
        <v xml:space="preserve">          6286 - LAUNDRY EXPENSE</v>
      </c>
      <c r="C63" s="11"/>
      <c r="D63" s="7">
        <v>159.6</v>
      </c>
      <c r="E63" s="2"/>
      <c r="F63" s="6">
        <f t="shared" si="45"/>
        <v>3.3063603932828679E-2</v>
      </c>
      <c r="G63" s="2"/>
      <c r="H63" s="7"/>
      <c r="I63" s="2"/>
      <c r="J63" s="6">
        <f t="shared" si="46"/>
        <v>0</v>
      </c>
      <c r="K63" s="2"/>
      <c r="L63" s="7">
        <f t="shared" si="47"/>
        <v>159.6</v>
      </c>
      <c r="M63" s="2"/>
      <c r="N63" s="6">
        <f t="shared" si="48"/>
        <v>0</v>
      </c>
      <c r="O63" s="11"/>
      <c r="P63" s="7">
        <v>1807.66</v>
      </c>
      <c r="Q63" s="2"/>
      <c r="R63" s="6">
        <f t="shared" si="49"/>
        <v>5.6578535699946158E-3</v>
      </c>
      <c r="S63" s="2"/>
      <c r="T63" s="7">
        <v>472.18</v>
      </c>
      <c r="U63" s="2"/>
      <c r="V63" s="6">
        <f t="shared" si="50"/>
        <v>1.0461342130508667E-2</v>
      </c>
      <c r="W63" s="2"/>
      <c r="X63" s="7">
        <f t="shared" si="51"/>
        <v>1335.48</v>
      </c>
      <c r="Y63" s="2"/>
      <c r="Z63" s="6">
        <f t="shared" si="52"/>
        <v>2.8283281799313822</v>
      </c>
    </row>
    <row r="64" spans="1:26" s="29" customFormat="1" outlineLevel="1" collapsed="1" x14ac:dyDescent="0.3">
      <c r="A64" s="28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SUM(OSRRefD22_13x_0)</f>
        <v>327.63</v>
      </c>
      <c r="E64" s="1"/>
      <c r="F64" s="5">
        <f t="shared" ref="F64:F72" si="53">IF(D$12=0,0,D64/D$12)</f>
        <v>6.7873612509477821E-2</v>
      </c>
      <c r="G64" s="1"/>
      <c r="H64" s="1">
        <f>SUM(OSRRefH22_13x_0)</f>
        <v>0</v>
      </c>
      <c r="I64" s="1"/>
      <c r="J64" s="5">
        <f t="shared" ref="J64:J72" si="54">IF(H$12=0,0,H64/H$12)</f>
        <v>0</v>
      </c>
      <c r="K64" s="1"/>
      <c r="L64" s="1">
        <f t="shared" ref="L64:L72" si="55">+D64-H64</f>
        <v>327.63</v>
      </c>
      <c r="M64" s="1"/>
      <c r="N64" s="5">
        <f t="shared" ref="N64:N72" si="56">IF(H64=0,0,L64/H64)</f>
        <v>0</v>
      </c>
      <c r="O64" s="14"/>
      <c r="P64" s="1">
        <f>SUM(OSRRefP22_13x_0)</f>
        <v>2838.15</v>
      </c>
      <c r="Q64" s="1"/>
      <c r="R64" s="5">
        <f t="shared" ref="R64:R72" si="57">IF(P$12=0,0,P64/P$12)</f>
        <v>8.8832175905204629E-3</v>
      </c>
      <c r="S64" s="1"/>
      <c r="T64" s="1">
        <f>SUM(OSRRefT22_13x_0)</f>
        <v>534.16999999999996</v>
      </c>
      <c r="U64" s="1"/>
      <c r="V64" s="5">
        <f t="shared" ref="V64:V72" si="58">IF(T$12=0,0,T64/T$12)</f>
        <v>1.1834756079998759E-2</v>
      </c>
      <c r="W64" s="1"/>
      <c r="X64" s="1">
        <f t="shared" ref="X64:X72" si="59">+P64-T64</f>
        <v>2303.98</v>
      </c>
      <c r="Y64" s="1"/>
      <c r="Z64" s="5">
        <f t="shared" ref="Z64:Z72" si="60">IF(T64=0,0,X64/T64)</f>
        <v>4.3131961735028179</v>
      </c>
    </row>
    <row r="65" spans="1:26" s="24" customFormat="1" hidden="1" outlineLevel="2" x14ac:dyDescent="0.3">
      <c r="A65" s="27"/>
      <c r="B65" s="11" t="str">
        <f>CONCATENATE("          ", "6275", " - ", "SUBSCRIPTIONS")</f>
        <v xml:space="preserve">          6275 - SUBSCRIPTIONS</v>
      </c>
      <c r="C65" s="11"/>
      <c r="D65" s="7">
        <v>327.63</v>
      </c>
      <c r="E65" s="2"/>
      <c r="F65" s="6">
        <f t="shared" si="53"/>
        <v>6.7873612509477821E-2</v>
      </c>
      <c r="G65" s="2"/>
      <c r="H65" s="7"/>
      <c r="I65" s="2"/>
      <c r="J65" s="6">
        <f t="shared" si="54"/>
        <v>0</v>
      </c>
      <c r="K65" s="2"/>
      <c r="L65" s="7">
        <f t="shared" si="55"/>
        <v>327.63</v>
      </c>
      <c r="M65" s="2"/>
      <c r="N65" s="6">
        <f t="shared" si="56"/>
        <v>0</v>
      </c>
      <c r="O65" s="11"/>
      <c r="P65" s="7">
        <v>2838.15</v>
      </c>
      <c r="Q65" s="2"/>
      <c r="R65" s="6">
        <f t="shared" si="57"/>
        <v>8.8832175905204629E-3</v>
      </c>
      <c r="S65" s="2"/>
      <c r="T65" s="7">
        <v>534.16999999999996</v>
      </c>
      <c r="U65" s="2"/>
      <c r="V65" s="6">
        <f t="shared" si="58"/>
        <v>1.1834756079998759E-2</v>
      </c>
      <c r="W65" s="2"/>
      <c r="X65" s="7">
        <f t="shared" si="59"/>
        <v>2303.98</v>
      </c>
      <c r="Y65" s="2"/>
      <c r="Z65" s="6">
        <f t="shared" si="60"/>
        <v>4.3131961735028179</v>
      </c>
    </row>
    <row r="66" spans="1:26" s="29" customFormat="1" outlineLevel="1" collapsed="1" x14ac:dyDescent="0.3">
      <c r="A66" s="28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SUM(OSRRefD22_14x_0)</f>
        <v>334.53999999999996</v>
      </c>
      <c r="E66" s="1"/>
      <c r="F66" s="5">
        <f t="shared" si="53"/>
        <v>6.9305125687271346E-2</v>
      </c>
      <c r="G66" s="1"/>
      <c r="H66" s="1">
        <f>SUM(OSRRefH22_14x_0)</f>
        <v>80.47</v>
      </c>
      <c r="I66" s="1"/>
      <c r="J66" s="5">
        <f t="shared" si="54"/>
        <v>0</v>
      </c>
      <c r="K66" s="1"/>
      <c r="L66" s="1">
        <f t="shared" si="55"/>
        <v>254.06999999999996</v>
      </c>
      <c r="M66" s="1"/>
      <c r="N66" s="5">
        <f t="shared" si="56"/>
        <v>3.1573257114452589</v>
      </c>
      <c r="O66" s="14"/>
      <c r="P66" s="1">
        <f>SUM(OSRRefP22_14x_0)</f>
        <v>10405.449999999999</v>
      </c>
      <c r="Q66" s="1"/>
      <c r="R66" s="5">
        <f t="shared" si="57"/>
        <v>3.2568354906287948E-2</v>
      </c>
      <c r="S66" s="1"/>
      <c r="T66" s="1">
        <f>SUM(OSRRefT22_14x_0)</f>
        <v>7585.83</v>
      </c>
      <c r="U66" s="1"/>
      <c r="V66" s="5">
        <f t="shared" si="58"/>
        <v>0.16806718406937304</v>
      </c>
      <c r="W66" s="1"/>
      <c r="X66" s="1">
        <f t="shared" si="59"/>
        <v>2819.619999999999</v>
      </c>
      <c r="Y66" s="1"/>
      <c r="Z66" s="5">
        <f t="shared" si="60"/>
        <v>0.3716956483338012</v>
      </c>
    </row>
    <row r="67" spans="1:26" s="24" customFormat="1" hidden="1" outlineLevel="2" x14ac:dyDescent="0.3">
      <c r="A67" s="27"/>
      <c r="B67" s="11" t="str">
        <f>CONCATENATE("          ", "6234", " - ", "EXPENDABLE SUPPLIES &amp; EQUIPMEN")</f>
        <v xml:space="preserve">          6234 - EXPENDABLE SUPPLIES &amp; EQUIPMEN</v>
      </c>
      <c r="C67" s="11"/>
      <c r="D67" s="7">
        <v>57.77</v>
      </c>
      <c r="E67" s="2"/>
      <c r="F67" s="6">
        <f t="shared" si="53"/>
        <v>1.196794736340547E-2</v>
      </c>
      <c r="G67" s="2"/>
      <c r="H67" s="7"/>
      <c r="I67" s="2"/>
      <c r="J67" s="6">
        <f t="shared" si="54"/>
        <v>0</v>
      </c>
      <c r="K67" s="2"/>
      <c r="L67" s="7">
        <f t="shared" si="55"/>
        <v>57.77</v>
      </c>
      <c r="M67" s="2"/>
      <c r="N67" s="6">
        <f t="shared" si="56"/>
        <v>0</v>
      </c>
      <c r="O67" s="11"/>
      <c r="P67" s="7">
        <v>57.77</v>
      </c>
      <c r="Q67" s="2"/>
      <c r="R67" s="6">
        <f t="shared" si="57"/>
        <v>1.8081619371927739E-4</v>
      </c>
      <c r="S67" s="2"/>
      <c r="T67" s="7">
        <v>310.91000000000003</v>
      </c>
      <c r="U67" s="2"/>
      <c r="V67" s="6">
        <f t="shared" si="58"/>
        <v>6.8883389423449737E-3</v>
      </c>
      <c r="W67" s="2"/>
      <c r="X67" s="7">
        <f t="shared" si="59"/>
        <v>-253.14000000000001</v>
      </c>
      <c r="Y67" s="2"/>
      <c r="Z67" s="6">
        <f t="shared" si="60"/>
        <v>-0.81419060178186609</v>
      </c>
    </row>
    <row r="68" spans="1:26" s="24" customFormat="1" hidden="1" outlineLevel="2" x14ac:dyDescent="0.3">
      <c r="A68" s="27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6753.97</v>
      </c>
      <c r="U68" s="2"/>
      <c r="V68" s="6">
        <f t="shared" si="58"/>
        <v>0.14963698358505576</v>
      </c>
      <c r="W68" s="2"/>
      <c r="X68" s="7">
        <f t="shared" si="59"/>
        <v>-6753.97</v>
      </c>
      <c r="Y68" s="2"/>
      <c r="Z68" s="6">
        <f t="shared" si="60"/>
        <v>-1</v>
      </c>
    </row>
    <row r="69" spans="1:26" s="24" customFormat="1" hidden="1" outlineLevel="2" x14ac:dyDescent="0.3">
      <c r="A69" s="27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3"/>
        <v>0</v>
      </c>
      <c r="G69" s="2"/>
      <c r="H69" s="7"/>
      <c r="I69" s="2"/>
      <c r="J69" s="6">
        <f t="shared" si="54"/>
        <v>0</v>
      </c>
      <c r="K69" s="2"/>
      <c r="L69" s="7">
        <f t="shared" si="55"/>
        <v>0</v>
      </c>
      <c r="M69" s="2"/>
      <c r="N69" s="6">
        <f t="shared" si="56"/>
        <v>0</v>
      </c>
      <c r="O69" s="11"/>
      <c r="P69" s="7">
        <v>5002.7299999999996</v>
      </c>
      <c r="Q69" s="2"/>
      <c r="R69" s="6">
        <f t="shared" si="57"/>
        <v>1.5658206626367327E-2</v>
      </c>
      <c r="S69" s="2"/>
      <c r="T69" s="7">
        <v>286.91000000000003</v>
      </c>
      <c r="U69" s="2"/>
      <c r="V69" s="6">
        <f t="shared" si="58"/>
        <v>6.3566090699822986E-3</v>
      </c>
      <c r="W69" s="2"/>
      <c r="X69" s="7">
        <f t="shared" si="59"/>
        <v>4715.82</v>
      </c>
      <c r="Y69" s="2"/>
      <c r="Z69" s="6">
        <f t="shared" si="60"/>
        <v>16.436582900561149</v>
      </c>
    </row>
    <row r="70" spans="1:26" s="24" customFormat="1" hidden="1" outlineLevel="2" x14ac:dyDescent="0.3">
      <c r="A70" s="27"/>
      <c r="B70" s="11" t="str">
        <f>CONCATENATE("          ", "6239", " - ", "KITCHEN SUPPLIES")</f>
        <v xml:space="preserve">          6239 - KITCHEN SUPPLIES</v>
      </c>
      <c r="C70" s="11"/>
      <c r="D70" s="7">
        <v>31.95</v>
      </c>
      <c r="E70" s="2"/>
      <c r="F70" s="6">
        <f t="shared" si="53"/>
        <v>6.6189357497110045E-3</v>
      </c>
      <c r="G70" s="2"/>
      <c r="H70" s="7"/>
      <c r="I70" s="2"/>
      <c r="J70" s="6">
        <f t="shared" si="54"/>
        <v>0</v>
      </c>
      <c r="K70" s="2"/>
      <c r="L70" s="7">
        <f t="shared" si="55"/>
        <v>31.95</v>
      </c>
      <c r="M70" s="2"/>
      <c r="N70" s="6">
        <f t="shared" si="56"/>
        <v>0</v>
      </c>
      <c r="O70" s="11"/>
      <c r="P70" s="7">
        <v>1371.33</v>
      </c>
      <c r="Q70" s="2"/>
      <c r="R70" s="6">
        <f t="shared" si="57"/>
        <v>4.2921701736724363E-3</v>
      </c>
      <c r="S70" s="2"/>
      <c r="T70" s="7">
        <v>19.829999999999998</v>
      </c>
      <c r="U70" s="2"/>
      <c r="V70" s="6">
        <f t="shared" si="58"/>
        <v>4.3934180703966041E-4</v>
      </c>
      <c r="W70" s="2"/>
      <c r="X70" s="7">
        <f t="shared" si="59"/>
        <v>1351.5</v>
      </c>
      <c r="Y70" s="2"/>
      <c r="Z70" s="6">
        <f t="shared" si="60"/>
        <v>68.154311649016648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7">
        <v>244.82</v>
      </c>
      <c r="E71" s="2"/>
      <c r="F71" s="6">
        <f t="shared" si="53"/>
        <v>5.0718242574154873E-2</v>
      </c>
      <c r="G71" s="2"/>
      <c r="H71" s="7">
        <v>14.98</v>
      </c>
      <c r="I71" s="2"/>
      <c r="J71" s="6">
        <f t="shared" si="54"/>
        <v>0</v>
      </c>
      <c r="K71" s="2"/>
      <c r="L71" s="7">
        <f t="shared" si="55"/>
        <v>229.84</v>
      </c>
      <c r="M71" s="2"/>
      <c r="N71" s="6">
        <f t="shared" si="56"/>
        <v>15.343124165554071</v>
      </c>
      <c r="O71" s="11"/>
      <c r="P71" s="7">
        <v>3487.39</v>
      </c>
      <c r="Q71" s="2"/>
      <c r="R71" s="6">
        <f t="shared" si="57"/>
        <v>1.0915294890335308E-2</v>
      </c>
      <c r="S71" s="2"/>
      <c r="T71" s="7">
        <v>148.72</v>
      </c>
      <c r="U71" s="2"/>
      <c r="V71" s="6">
        <f t="shared" si="58"/>
        <v>3.2949527757407111E-3</v>
      </c>
      <c r="W71" s="2"/>
      <c r="X71" s="7">
        <f t="shared" si="59"/>
        <v>3338.67</v>
      </c>
      <c r="Y71" s="2"/>
      <c r="Z71" s="6">
        <f t="shared" si="60"/>
        <v>22.449367939752555</v>
      </c>
    </row>
    <row r="72" spans="1:26" s="24" customFormat="1" hidden="1" outlineLevel="2" x14ac:dyDescent="0.3">
      <c r="A72" s="27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53"/>
        <v>0</v>
      </c>
      <c r="G72" s="2"/>
      <c r="H72" s="7">
        <v>65.489999999999995</v>
      </c>
      <c r="I72" s="2"/>
      <c r="J72" s="6">
        <f t="shared" si="54"/>
        <v>0</v>
      </c>
      <c r="K72" s="2"/>
      <c r="L72" s="7">
        <f t="shared" si="55"/>
        <v>-65.489999999999995</v>
      </c>
      <c r="M72" s="2"/>
      <c r="N72" s="6">
        <f t="shared" si="56"/>
        <v>-1</v>
      </c>
      <c r="O72" s="11"/>
      <c r="P72" s="7">
        <v>486.23</v>
      </c>
      <c r="Q72" s="2"/>
      <c r="R72" s="6">
        <f t="shared" si="57"/>
        <v>1.5218670221935995E-3</v>
      </c>
      <c r="S72" s="2"/>
      <c r="T72" s="7">
        <v>65.489999999999995</v>
      </c>
      <c r="U72" s="2"/>
      <c r="V72" s="6">
        <f t="shared" si="58"/>
        <v>1.45095788920965E-3</v>
      </c>
      <c r="W72" s="2"/>
      <c r="X72" s="7">
        <f t="shared" si="59"/>
        <v>420.74</v>
      </c>
      <c r="Y72" s="2"/>
      <c r="Z72" s="6">
        <f t="shared" si="60"/>
        <v>6.424492288899069</v>
      </c>
    </row>
    <row r="73" spans="1:26" s="29" customFormat="1" outlineLevel="1" collapsed="1" x14ac:dyDescent="0.3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181.25</v>
      </c>
      <c r="E73" s="1"/>
      <c r="F73" s="5">
        <f t="shared" ref="F73:F78" si="61">IF(D$12=0,0,D73/D$12)</f>
        <v>3.754873566933082E-2</v>
      </c>
      <c r="G73" s="1"/>
      <c r="H73" s="1">
        <f>SUM(OSRRefH22_15x_0)</f>
        <v>233</v>
      </c>
      <c r="I73" s="1"/>
      <c r="J73" s="5">
        <f t="shared" ref="J73:J78" si="62">IF(H$12=0,0,H73/H$12)</f>
        <v>0</v>
      </c>
      <c r="K73" s="1"/>
      <c r="L73" s="1">
        <f t="shared" ref="L73:L78" si="63">+D73-H73</f>
        <v>-51.75</v>
      </c>
      <c r="M73" s="1"/>
      <c r="N73" s="5">
        <f t="shared" ref="N73:N78" si="64">IF(H73=0,0,L73/H73)</f>
        <v>-0.22210300429184548</v>
      </c>
      <c r="O73" s="14"/>
      <c r="P73" s="1">
        <f>SUM(OSRRefP22_15x_0)</f>
        <v>1738.18</v>
      </c>
      <c r="Q73" s="1"/>
      <c r="R73" s="5">
        <f t="shared" ref="R73:R78" si="65">IF(P$12=0,0,P73/P$12)</f>
        <v>5.4403858680798613E-3</v>
      </c>
      <c r="S73" s="1"/>
      <c r="T73" s="1">
        <f>SUM(OSRRefT22_15x_0)</f>
        <v>1677</v>
      </c>
      <c r="U73" s="1"/>
      <c r="V73" s="5">
        <f t="shared" ref="V73:V78" si="66">IF(T$12=0,0,T73/T$12)</f>
        <v>3.7154624831341937E-2</v>
      </c>
      <c r="W73" s="1"/>
      <c r="X73" s="1">
        <f t="shared" ref="X73:X78" si="67">+P73-T73</f>
        <v>61.180000000000064</v>
      </c>
      <c r="Y73" s="1"/>
      <c r="Z73" s="5">
        <f t="shared" ref="Z73:Z78" si="68">IF(T73=0,0,X73/T73)</f>
        <v>3.6481812760882568E-2</v>
      </c>
    </row>
    <row r="74" spans="1:26" s="24" customFormat="1" hidden="1" outlineLevel="2" x14ac:dyDescent="0.3">
      <c r="A74" s="27"/>
      <c r="B74" s="11" t="str">
        <f>CONCATENATE("          ", "6309", " - ", "TELEPHONE")</f>
        <v xml:space="preserve">          6309 - TELEPHONE</v>
      </c>
      <c r="C74" s="11"/>
      <c r="D74" s="7">
        <v>181.25</v>
      </c>
      <c r="E74" s="2"/>
      <c r="F74" s="6">
        <f t="shared" si="61"/>
        <v>3.754873566933082E-2</v>
      </c>
      <c r="G74" s="2"/>
      <c r="H74" s="7">
        <v>233</v>
      </c>
      <c r="I74" s="2"/>
      <c r="J74" s="6">
        <f t="shared" si="62"/>
        <v>0</v>
      </c>
      <c r="K74" s="2"/>
      <c r="L74" s="7">
        <f t="shared" si="63"/>
        <v>-51.75</v>
      </c>
      <c r="M74" s="2"/>
      <c r="N74" s="6">
        <f t="shared" si="64"/>
        <v>-0.22210300429184548</v>
      </c>
      <c r="O74" s="11"/>
      <c r="P74" s="7">
        <v>1738.18</v>
      </c>
      <c r="Q74" s="2"/>
      <c r="R74" s="6">
        <f t="shared" si="65"/>
        <v>5.4403858680798613E-3</v>
      </c>
      <c r="S74" s="2"/>
      <c r="T74" s="7">
        <v>1677</v>
      </c>
      <c r="U74" s="2"/>
      <c r="V74" s="6">
        <f t="shared" si="66"/>
        <v>3.7154624831341937E-2</v>
      </c>
      <c r="W74" s="2"/>
      <c r="X74" s="7">
        <f t="shared" si="67"/>
        <v>61.180000000000064</v>
      </c>
      <c r="Y74" s="2"/>
      <c r="Z74" s="6">
        <f t="shared" si="68"/>
        <v>3.6481812760882568E-2</v>
      </c>
    </row>
    <row r="75" spans="1:26" s="29" customFormat="1" outlineLevel="1" collapsed="1" x14ac:dyDescent="0.3">
      <c r="A75" s="28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SUM(OSRRefD22_16x_0)</f>
        <v>0</v>
      </c>
      <c r="E75" s="1"/>
      <c r="F75" s="5">
        <f t="shared" si="61"/>
        <v>0</v>
      </c>
      <c r="G75" s="1"/>
      <c r="H75" s="1">
        <f>SUM(OSRRefH22_16x_0)</f>
        <v>0</v>
      </c>
      <c r="I75" s="1"/>
      <c r="J75" s="5">
        <f t="shared" si="62"/>
        <v>0</v>
      </c>
      <c r="K75" s="1"/>
      <c r="L75" s="1">
        <f t="shared" si="63"/>
        <v>0</v>
      </c>
      <c r="M75" s="1"/>
      <c r="N75" s="5">
        <f t="shared" si="64"/>
        <v>0</v>
      </c>
      <c r="O75" s="14"/>
      <c r="P75" s="1">
        <f>SUM(OSRRefP22_16x_0)</f>
        <v>0</v>
      </c>
      <c r="Q75" s="1"/>
      <c r="R75" s="5">
        <f t="shared" si="65"/>
        <v>0</v>
      </c>
      <c r="S75" s="1"/>
      <c r="T75" s="1">
        <f>SUM(OSRRefT22_16x_0)</f>
        <v>400</v>
      </c>
      <c r="U75" s="1"/>
      <c r="V75" s="5">
        <f t="shared" si="66"/>
        <v>8.8621645393779213E-3</v>
      </c>
      <c r="W75" s="1"/>
      <c r="X75" s="1">
        <f t="shared" si="67"/>
        <v>-400</v>
      </c>
      <c r="Y75" s="1"/>
      <c r="Z75" s="5">
        <f t="shared" si="68"/>
        <v>-1</v>
      </c>
    </row>
    <row r="76" spans="1:26" s="24" customFormat="1" hidden="1" outlineLevel="2" x14ac:dyDescent="0.3">
      <c r="A76" s="27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61"/>
        <v>0</v>
      </c>
      <c r="G76" s="2"/>
      <c r="H76" s="7"/>
      <c r="I76" s="2"/>
      <c r="J76" s="6">
        <f t="shared" si="62"/>
        <v>0</v>
      </c>
      <c r="K76" s="2"/>
      <c r="L76" s="7">
        <f t="shared" si="63"/>
        <v>0</v>
      </c>
      <c r="M76" s="2"/>
      <c r="N76" s="6">
        <f t="shared" si="64"/>
        <v>0</v>
      </c>
      <c r="O76" s="11"/>
      <c r="P76" s="7"/>
      <c r="Q76" s="2"/>
      <c r="R76" s="6">
        <f t="shared" si="65"/>
        <v>0</v>
      </c>
      <c r="S76" s="2"/>
      <c r="T76" s="7">
        <v>400</v>
      </c>
      <c r="U76" s="2"/>
      <c r="V76" s="6">
        <f t="shared" si="66"/>
        <v>8.8621645393779213E-3</v>
      </c>
      <c r="W76" s="2"/>
      <c r="X76" s="7">
        <f t="shared" si="67"/>
        <v>-400</v>
      </c>
      <c r="Y76" s="2"/>
      <c r="Z76" s="6">
        <f t="shared" si="68"/>
        <v>-1</v>
      </c>
    </row>
    <row r="77" spans="1:26" s="29" customFormat="1" outlineLevel="1" collapsed="1" x14ac:dyDescent="0.3">
      <c r="A77" s="28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SUM(OSRRefD22_17x_0)</f>
        <v>2400</v>
      </c>
      <c r="E77" s="1"/>
      <c r="F77" s="5">
        <f t="shared" si="61"/>
        <v>0.49719705162148392</v>
      </c>
      <c r="G77" s="1"/>
      <c r="H77" s="1">
        <f>SUM(OSRRefH22_17x_0)</f>
        <v>2312</v>
      </c>
      <c r="I77" s="1"/>
      <c r="J77" s="5">
        <f t="shared" si="62"/>
        <v>0</v>
      </c>
      <c r="K77" s="1"/>
      <c r="L77" s="1">
        <f t="shared" si="63"/>
        <v>88</v>
      </c>
      <c r="M77" s="1"/>
      <c r="N77" s="5">
        <f t="shared" si="64"/>
        <v>3.8062283737024222E-2</v>
      </c>
      <c r="O77" s="14"/>
      <c r="P77" s="1">
        <f>SUM(OSRRefP22_17x_0)</f>
        <v>14400</v>
      </c>
      <c r="Q77" s="1"/>
      <c r="R77" s="5">
        <f t="shared" si="65"/>
        <v>4.507102630357615E-2</v>
      </c>
      <c r="S77" s="1"/>
      <c r="T77" s="1">
        <f>SUM(OSRRefT22_17x_0)</f>
        <v>16136</v>
      </c>
      <c r="U77" s="1"/>
      <c r="V77" s="5">
        <f t="shared" si="66"/>
        <v>0.35749971751850534</v>
      </c>
      <c r="W77" s="1"/>
      <c r="X77" s="1">
        <f t="shared" si="67"/>
        <v>-1736</v>
      </c>
      <c r="Y77" s="1"/>
      <c r="Z77" s="5">
        <f t="shared" si="68"/>
        <v>-0.10758552305404065</v>
      </c>
    </row>
    <row r="78" spans="1:26" s="24" customFormat="1" hidden="1" outlineLevel="2" x14ac:dyDescent="0.3">
      <c r="A78" s="27"/>
      <c r="B78" s="11" t="str">
        <f>CONCATENATE("          ", "6274", " - ", "UTILITIES")</f>
        <v xml:space="preserve">          6274 - UTILITIES</v>
      </c>
      <c r="C78" s="11"/>
      <c r="D78" s="7">
        <v>2400</v>
      </c>
      <c r="E78" s="2"/>
      <c r="F78" s="6">
        <f t="shared" si="61"/>
        <v>0.49719705162148392</v>
      </c>
      <c r="G78" s="2"/>
      <c r="H78" s="7">
        <v>2312</v>
      </c>
      <c r="I78" s="2"/>
      <c r="J78" s="6">
        <f t="shared" si="62"/>
        <v>0</v>
      </c>
      <c r="K78" s="2"/>
      <c r="L78" s="7">
        <f t="shared" si="63"/>
        <v>88</v>
      </c>
      <c r="M78" s="2"/>
      <c r="N78" s="6">
        <f t="shared" si="64"/>
        <v>3.8062283737024222E-2</v>
      </c>
      <c r="O78" s="11"/>
      <c r="P78" s="7">
        <v>14400</v>
      </c>
      <c r="Q78" s="2"/>
      <c r="R78" s="6">
        <f t="shared" si="65"/>
        <v>4.507102630357615E-2</v>
      </c>
      <c r="S78" s="2"/>
      <c r="T78" s="7">
        <v>16136</v>
      </c>
      <c r="U78" s="2"/>
      <c r="V78" s="6">
        <f t="shared" si="66"/>
        <v>0.35749971751850534</v>
      </c>
      <c r="W78" s="2"/>
      <c r="X78" s="7">
        <f t="shared" si="67"/>
        <v>-1736</v>
      </c>
      <c r="Y78" s="2"/>
      <c r="Z78" s="6">
        <f t="shared" si="68"/>
        <v>-0.10758552305404065</v>
      </c>
    </row>
    <row r="79" spans="1:26" s="52" customFormat="1" x14ac:dyDescent="0.3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6" t="s">
        <v>292</v>
      </c>
      <c r="C80" s="10"/>
      <c r="D80" s="4">
        <f>SUM(OSRRefD25x_0)</f>
        <v>0</v>
      </c>
      <c r="E80" s="4"/>
      <c r="F80" s="12">
        <f t="shared" ref="F80:F81" si="69">IF(D$12=0,0,D80/D$12)</f>
        <v>0</v>
      </c>
      <c r="G80" s="4"/>
      <c r="H80" s="4">
        <f>SUM(OSRRefH25x_0)</f>
        <v>0</v>
      </c>
      <c r="I80" s="4"/>
      <c r="J80" s="12">
        <f t="shared" ref="J80:J81" si="70">IF(H$12=0,0,H80/H$12)</f>
        <v>0</v>
      </c>
      <c r="K80" s="4"/>
      <c r="L80" s="4">
        <f t="shared" ref="L80:L81" si="71">+D80-H80</f>
        <v>0</v>
      </c>
      <c r="M80" s="4"/>
      <c r="N80" s="12">
        <f t="shared" ref="N80:N81" si="72">IF(H80=0,0,L80/H80)</f>
        <v>0</v>
      </c>
      <c r="O80" s="10"/>
      <c r="P80" s="4">
        <f>SUM(OSRRefP25x_0)</f>
        <v>2.33</v>
      </c>
      <c r="Q80" s="4"/>
      <c r="R80" s="12">
        <f t="shared" ref="R80:R81" si="73">IF(P$12=0,0,P80/P$12)</f>
        <v>7.2927424505091974E-6</v>
      </c>
      <c r="S80" s="4"/>
      <c r="T80" s="4">
        <f>SUM(OSRRefT25x_0)</f>
        <v>0</v>
      </c>
      <c r="U80" s="4"/>
      <c r="V80" s="12">
        <f t="shared" ref="V80:V81" si="74">IF(T$12=0,0,T80/T$12)</f>
        <v>0</v>
      </c>
      <c r="W80" s="4"/>
      <c r="X80" s="4">
        <f t="shared" ref="X80:X81" si="75">+P80-T80</f>
        <v>2.33</v>
      </c>
      <c r="Y80" s="4"/>
      <c r="Z80" s="12">
        <f t="shared" ref="Z80:Z81" si="76">IF(T80=0,0,X80/T80)</f>
        <v>0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19">
        <f t="shared" si="69"/>
        <v>0</v>
      </c>
      <c r="G81" s="2"/>
      <c r="H81" s="2">
        <f>0</f>
        <v>0</v>
      </c>
      <c r="I81" s="2"/>
      <c r="J81" s="19">
        <f t="shared" si="70"/>
        <v>0</v>
      </c>
      <c r="K81" s="2"/>
      <c r="L81" s="2">
        <f t="shared" si="71"/>
        <v>0</v>
      </c>
      <c r="M81" s="2"/>
      <c r="N81" s="19">
        <f t="shared" si="72"/>
        <v>0</v>
      </c>
      <c r="O81" s="11"/>
      <c r="P81" s="2">
        <f>--2.33</f>
        <v>2.33</v>
      </c>
      <c r="Q81" s="2"/>
      <c r="R81" s="19">
        <f t="shared" si="73"/>
        <v>7.2927424505091974E-6</v>
      </c>
      <c r="S81" s="2"/>
      <c r="T81" s="2">
        <f>0</f>
        <v>0</v>
      </c>
      <c r="U81" s="2"/>
      <c r="V81" s="19">
        <f t="shared" si="74"/>
        <v>0</v>
      </c>
      <c r="W81" s="2"/>
      <c r="X81" s="2">
        <f t="shared" si="75"/>
        <v>2.33</v>
      </c>
      <c r="Y81" s="2"/>
      <c r="Z81" s="19">
        <f t="shared" si="76"/>
        <v>0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10"/>
      <c r="B83" s="25" t="s">
        <v>276</v>
      </c>
      <c r="C83" s="25"/>
      <c r="D83" s="21">
        <f>+D20-D22+D80</f>
        <v>-56999.999999999993</v>
      </c>
      <c r="E83" s="13"/>
      <c r="F83" s="22">
        <f>IF(D$12=0,0,D83/D$12)</f>
        <v>-11.808429976010242</v>
      </c>
      <c r="G83" s="13"/>
      <c r="H83" s="21">
        <f>+H20-H22+H80</f>
        <v>-59314.130000000005</v>
      </c>
      <c r="I83" s="13"/>
      <c r="J83" s="22">
        <f>IF(H$12=0,0,H83/H$12)</f>
        <v>0</v>
      </c>
      <c r="K83" s="15"/>
      <c r="L83" s="21">
        <f>+D83-H83</f>
        <v>2314.1300000000119</v>
      </c>
      <c r="M83" s="15"/>
      <c r="N83" s="22">
        <f>IF(H83=0,0,L83/H83)</f>
        <v>-3.9014818222909309E-2</v>
      </c>
      <c r="O83" s="26"/>
      <c r="P83" s="21">
        <f>+P20-P22+P80</f>
        <v>-310469.74999999988</v>
      </c>
      <c r="Q83" s="13"/>
      <c r="R83" s="22">
        <f>IF(P$12=0,0,P83/P$12)</f>
        <v>-0.97174932421629912</v>
      </c>
      <c r="S83" s="13"/>
      <c r="T83" s="21">
        <f>+T20-T22+T80</f>
        <v>-416406.47000000003</v>
      </c>
      <c r="U83" s="13"/>
      <c r="V83" s="22">
        <f>IF(T$12=0,0,T83/T$12)</f>
        <v>-9.2256566310038401</v>
      </c>
      <c r="W83" s="15"/>
      <c r="X83" s="21">
        <f>+P83-T83</f>
        <v>105936.72000000015</v>
      </c>
      <c r="Y83" s="15"/>
      <c r="Z83" s="22">
        <f>IF(T83=0,0,X83/T83)</f>
        <v>-0.25440699804688466</v>
      </c>
    </row>
    <row r="84" spans="1:26" x14ac:dyDescent="0.3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">
      <c r="A85" s="51"/>
      <c r="B85" s="10" t="s">
        <v>127</v>
      </c>
      <c r="C85" s="10"/>
      <c r="D85" s="4">
        <v>4413.8900000000003</v>
      </c>
      <c r="E85" s="4"/>
      <c r="F85" s="12">
        <f>IF(D$12=0,0,D85/D$12)</f>
        <v>0.91440545590897993</v>
      </c>
      <c r="G85" s="4"/>
      <c r="H85" s="4">
        <v>-157.74</v>
      </c>
      <c r="I85" s="4"/>
      <c r="J85" s="12">
        <f>IF(H$12=0,0,H85/H$12)</f>
        <v>0</v>
      </c>
      <c r="K85" s="4"/>
      <c r="L85" s="4">
        <f>+D85-H85</f>
        <v>4571.63</v>
      </c>
      <c r="M85" s="4"/>
      <c r="N85" s="12">
        <f>IF(H85=0,0,L85/H85)</f>
        <v>-28.982059084569546</v>
      </c>
      <c r="O85" s="10"/>
      <c r="P85" s="4">
        <v>42290.81</v>
      </c>
      <c r="Q85" s="4"/>
      <c r="R85" s="12">
        <f>IF(P$12=0,0,P85/P$12)</f>
        <v>0.13236737568816259</v>
      </c>
      <c r="S85" s="4"/>
      <c r="T85" s="4">
        <v>8193.32</v>
      </c>
      <c r="U85" s="4"/>
      <c r="V85" s="12">
        <f>IF(T$12=0,0,T85/T$12)</f>
        <v>0.18152637490943976</v>
      </c>
      <c r="W85" s="4"/>
      <c r="X85" s="4">
        <f>+P85-T85</f>
        <v>34097.49</v>
      </c>
      <c r="Y85" s="4"/>
      <c r="Z85" s="12">
        <f>IF(T85=0,0,X85/T85)</f>
        <v>4.1616206861199121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5" t="s">
        <v>125</v>
      </c>
      <c r="C87" s="25"/>
      <c r="D87" s="36">
        <f>+D83-D85</f>
        <v>-61413.889999999992</v>
      </c>
      <c r="E87" s="13"/>
      <c r="F87" s="31">
        <f>IF(D$12=0,0,D87/D$12)</f>
        <v>-12.722835431919222</v>
      </c>
      <c r="G87" s="13"/>
      <c r="H87" s="36">
        <f>+H83-H85</f>
        <v>-59156.390000000007</v>
      </c>
      <c r="I87" s="13"/>
      <c r="J87" s="31">
        <f>IF(H$12=0,0,H87/H$12)</f>
        <v>0</v>
      </c>
      <c r="K87" s="15"/>
      <c r="L87" s="36">
        <f>D87-H87</f>
        <v>-2257.4999999999854</v>
      </c>
      <c r="M87" s="15"/>
      <c r="N87" s="31">
        <f>IF(H87=0,0,L87/H87)</f>
        <v>3.8161557863824774E-2</v>
      </c>
      <c r="O87" s="26"/>
      <c r="P87" s="36">
        <f>+P83-P85</f>
        <v>-352760.55999999988</v>
      </c>
      <c r="Q87" s="13"/>
      <c r="R87" s="31">
        <f>IF(P$12=0,0,P87/P$12)</f>
        <v>-1.1041166999044616</v>
      </c>
      <c r="S87" s="13"/>
      <c r="T87" s="36">
        <f>+T83-T85</f>
        <v>-424599.79000000004</v>
      </c>
      <c r="U87" s="13"/>
      <c r="V87" s="31">
        <f>IF(T$12=0,0,T87/T$12)</f>
        <v>-9.4071830059132804</v>
      </c>
      <c r="W87" s="15"/>
      <c r="X87" s="36">
        <f>P87-T87</f>
        <v>71839.230000000156</v>
      </c>
      <c r="Y87" s="15"/>
      <c r="Z87" s="31">
        <f>IF(T87=0,0,X87/T87)</f>
        <v>-0.16919280624232091</v>
      </c>
    </row>
    <row r="88" spans="1:26" ht="15" thickTop="1" x14ac:dyDescent="0.3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5" t="s">
        <v>293</v>
      </c>
      <c r="C90" s="25"/>
      <c r="D90" s="35">
        <f>SUM(D87:D89)</f>
        <v>-61413.889999999992</v>
      </c>
      <c r="E90" s="13"/>
      <c r="F90" s="32">
        <f>IF(D$12=0,0,D90/D$12)</f>
        <v>-12.722835431919222</v>
      </c>
      <c r="G90" s="13"/>
      <c r="H90" s="35">
        <f>SUM(H87:H89)</f>
        <v>-59156.390000000007</v>
      </c>
      <c r="I90" s="13"/>
      <c r="J90" s="32">
        <f>IF(H$12=0,0,H90/H$12)</f>
        <v>0</v>
      </c>
      <c r="K90" s="15"/>
      <c r="L90" s="35">
        <f>+D90-H90</f>
        <v>-2257.4999999999854</v>
      </c>
      <c r="M90" s="15"/>
      <c r="N90" s="32">
        <f>IF(H90=0,0,L90/H90)</f>
        <v>3.8161557863824774E-2</v>
      </c>
      <c r="O90" s="26"/>
      <c r="P90" s="35">
        <f>SUM(P87:P89)</f>
        <v>-352760.55999999988</v>
      </c>
      <c r="Q90" s="13"/>
      <c r="R90" s="32">
        <f>IF(P$12=0,0,P90/P$12)</f>
        <v>-1.1041166999044616</v>
      </c>
      <c r="S90" s="13"/>
      <c r="T90" s="35">
        <f>SUM(T87:T89)</f>
        <v>-424599.79000000004</v>
      </c>
      <c r="U90" s="13"/>
      <c r="V90" s="32">
        <f>IF(T$12=0,0,T90/T$12)</f>
        <v>-9.4071830059132804</v>
      </c>
      <c r="W90" s="15"/>
      <c r="X90" s="35">
        <f>+P90-T90</f>
        <v>71839.230000000156</v>
      </c>
      <c r="Y90" s="15"/>
      <c r="Z90" s="32">
        <f>IF(T90=0,0,X90/T90)</f>
        <v>-0.16919280624232091</v>
      </c>
    </row>
    <row r="91" spans="1:26" ht="15" thickTop="1" x14ac:dyDescent="0.3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4">
        <v>44604.028475694446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53" t="s">
        <v>56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","418", " - ", "Nugget")</f>
        <v>Department 418 - Nugget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1349.42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1349.42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1349.42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1349.42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6"/>
      <c r="P17" s="21">
        <f>P12-P14</f>
        <v>-1349.42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5"/>
      <c r="X17" s="21">
        <f>+P17-T17</f>
        <v>-1349.42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17879.699999999993</v>
      </c>
      <c r="E19" s="20"/>
      <c r="F19" s="30">
        <f t="shared" ref="F19:F28" si="8">IF(D$12=0,0,D19/D$12)</f>
        <v>0</v>
      </c>
      <c r="G19" s="20"/>
      <c r="H19" s="20">
        <f>SUM(OSRRefH22x_0)</f>
        <v>6745.17</v>
      </c>
      <c r="I19" s="20"/>
      <c r="J19" s="30">
        <f t="shared" ref="J19:J28" si="9">IF(H$12=0,0,H19/H$12)</f>
        <v>0</v>
      </c>
      <c r="K19" s="4"/>
      <c r="L19" s="20">
        <f t="shared" ref="L19:L28" si="10">+D19-H19</f>
        <v>11134.529999999993</v>
      </c>
      <c r="M19" s="4"/>
      <c r="N19" s="30">
        <f t="shared" ref="N19:N28" si="11">IF(H19=0,0,L19/H19)</f>
        <v>1.6507411970343213</v>
      </c>
      <c r="O19" s="10"/>
      <c r="P19" s="20">
        <f>SUM(OSRRefP22x_0)</f>
        <v>120144.14999999998</v>
      </c>
      <c r="Q19" s="20"/>
      <c r="R19" s="30">
        <f t="shared" ref="R19:R28" si="12">IF(P$12=0,0,P19/P$12)</f>
        <v>0</v>
      </c>
      <c r="S19" s="20"/>
      <c r="T19" s="20">
        <f>SUM(OSRRefT22x_0)</f>
        <v>59026.820000000007</v>
      </c>
      <c r="U19" s="20"/>
      <c r="V19" s="30">
        <f t="shared" ref="V19:V28" si="13">IF(T$12=0,0,T19/T$12)</f>
        <v>0</v>
      </c>
      <c r="W19" s="4"/>
      <c r="X19" s="20">
        <f t="shared" ref="X19:X28" si="14">+P19-T19</f>
        <v>61117.329999999973</v>
      </c>
      <c r="Y19" s="4"/>
      <c r="Z19" s="30">
        <f t="shared" ref="Z19:Z28" si="15">IF(T19=0,0,X19/T19)</f>
        <v>1.0354162734838157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2372.7999999999997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2372.7999999999997</v>
      </c>
      <c r="M20" s="1"/>
      <c r="N20" s="5">
        <f t="shared" si="11"/>
        <v>0</v>
      </c>
      <c r="O20" s="14"/>
      <c r="P20" s="1">
        <f>SUM(OSRRefP22_0x_0)</f>
        <v>19332.77</v>
      </c>
      <c r="Q20" s="1"/>
      <c r="R20" s="5">
        <f t="shared" si="12"/>
        <v>0</v>
      </c>
      <c r="S20" s="1"/>
      <c r="T20" s="1">
        <f>SUM(OSRRefT22_0x_0)</f>
        <v>6086.32</v>
      </c>
      <c r="U20" s="1"/>
      <c r="V20" s="5">
        <f t="shared" si="13"/>
        <v>0</v>
      </c>
      <c r="W20" s="1"/>
      <c r="X20" s="1">
        <f t="shared" si="14"/>
        <v>13246.45</v>
      </c>
      <c r="Y20" s="1"/>
      <c r="Z20" s="5">
        <f t="shared" si="15"/>
        <v>2.1764300924039488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429.42</v>
      </c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429.42</v>
      </c>
      <c r="M21" s="2"/>
      <c r="N21" s="6">
        <f t="shared" si="11"/>
        <v>0</v>
      </c>
      <c r="O21" s="11"/>
      <c r="P21" s="7">
        <v>2771.32</v>
      </c>
      <c r="Q21" s="2"/>
      <c r="R21" s="6">
        <f t="shared" si="12"/>
        <v>0</v>
      </c>
      <c r="S21" s="2"/>
      <c r="T21" s="7">
        <v>237.51</v>
      </c>
      <c r="U21" s="2"/>
      <c r="V21" s="6">
        <f t="shared" si="13"/>
        <v>0</v>
      </c>
      <c r="W21" s="2"/>
      <c r="X21" s="7">
        <f t="shared" si="14"/>
        <v>2533.8100000000004</v>
      </c>
      <c r="Y21" s="2"/>
      <c r="Z21" s="6">
        <f t="shared" si="15"/>
        <v>10.668224495810705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202.09</v>
      </c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202.09</v>
      </c>
      <c r="M22" s="2"/>
      <c r="N22" s="6">
        <f t="shared" si="11"/>
        <v>0</v>
      </c>
      <c r="O22" s="11"/>
      <c r="P22" s="7">
        <v>1201.8599999999999</v>
      </c>
      <c r="Q22" s="2"/>
      <c r="R22" s="6">
        <f t="shared" si="12"/>
        <v>0</v>
      </c>
      <c r="S22" s="2"/>
      <c r="T22" s="7"/>
      <c r="U22" s="2"/>
      <c r="V22" s="6">
        <f t="shared" si="13"/>
        <v>0</v>
      </c>
      <c r="W22" s="2"/>
      <c r="X22" s="7">
        <f t="shared" si="14"/>
        <v>1201.8599999999999</v>
      </c>
      <c r="Y22" s="2"/>
      <c r="Z22" s="6">
        <f t="shared" si="15"/>
        <v>0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652.17999999999995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652.17999999999995</v>
      </c>
      <c r="M23" s="2"/>
      <c r="N23" s="6">
        <f t="shared" si="11"/>
        <v>0</v>
      </c>
      <c r="O23" s="11"/>
      <c r="P23" s="7">
        <v>10749.44</v>
      </c>
      <c r="Q23" s="2"/>
      <c r="R23" s="6">
        <f t="shared" si="12"/>
        <v>0</v>
      </c>
      <c r="S23" s="2"/>
      <c r="T23" s="7">
        <v>4780.67</v>
      </c>
      <c r="U23" s="2"/>
      <c r="V23" s="6">
        <f t="shared" si="13"/>
        <v>0</v>
      </c>
      <c r="W23" s="2"/>
      <c r="X23" s="7">
        <f t="shared" si="14"/>
        <v>5968.77</v>
      </c>
      <c r="Y23" s="2"/>
      <c r="Z23" s="6">
        <f t="shared" si="15"/>
        <v>1.2485216507309647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14.6</v>
      </c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14.6</v>
      </c>
      <c r="M24" s="2"/>
      <c r="N24" s="6">
        <f t="shared" si="11"/>
        <v>0</v>
      </c>
      <c r="O24" s="11"/>
      <c r="P24" s="7">
        <v>88.17</v>
      </c>
      <c r="Q24" s="2"/>
      <c r="R24" s="6">
        <f t="shared" si="12"/>
        <v>0</v>
      </c>
      <c r="S24" s="2"/>
      <c r="T24" s="7"/>
      <c r="U24" s="2"/>
      <c r="V24" s="6">
        <f t="shared" si="13"/>
        <v>0</v>
      </c>
      <c r="W24" s="2"/>
      <c r="X24" s="7">
        <f t="shared" si="14"/>
        <v>88.17</v>
      </c>
      <c r="Y24" s="2"/>
      <c r="Z24" s="6">
        <f t="shared" si="15"/>
        <v>0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420.37</v>
      </c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420.37</v>
      </c>
      <c r="M25" s="2"/>
      <c r="N25" s="6">
        <f t="shared" si="11"/>
        <v>0</v>
      </c>
      <c r="O25" s="11"/>
      <c r="P25" s="7">
        <v>903.79</v>
      </c>
      <c r="Q25" s="2"/>
      <c r="R25" s="6">
        <f t="shared" si="12"/>
        <v>0</v>
      </c>
      <c r="S25" s="2"/>
      <c r="T25" s="7">
        <v>678.15</v>
      </c>
      <c r="U25" s="2"/>
      <c r="V25" s="6">
        <f t="shared" si="13"/>
        <v>0</v>
      </c>
      <c r="W25" s="2"/>
      <c r="X25" s="7">
        <f t="shared" si="14"/>
        <v>225.64</v>
      </c>
      <c r="Y25" s="2"/>
      <c r="Z25" s="6">
        <f t="shared" si="15"/>
        <v>0.33272874732728747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213.24</v>
      </c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213.24</v>
      </c>
      <c r="M26" s="2"/>
      <c r="N26" s="6">
        <f t="shared" si="11"/>
        <v>0</v>
      </c>
      <c r="O26" s="11"/>
      <c r="P26" s="7">
        <v>1244.42</v>
      </c>
      <c r="Q26" s="2"/>
      <c r="R26" s="6">
        <f t="shared" si="12"/>
        <v>0</v>
      </c>
      <c r="S26" s="2"/>
      <c r="T26" s="7">
        <v>248.21</v>
      </c>
      <c r="U26" s="2"/>
      <c r="V26" s="6">
        <f t="shared" si="13"/>
        <v>0</v>
      </c>
      <c r="W26" s="2"/>
      <c r="X26" s="7">
        <f t="shared" si="14"/>
        <v>996.21</v>
      </c>
      <c r="Y26" s="2"/>
      <c r="Z26" s="6">
        <f t="shared" si="15"/>
        <v>4.0135772128439626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255.46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255.46</v>
      </c>
      <c r="M27" s="2"/>
      <c r="N27" s="6">
        <f t="shared" si="11"/>
        <v>0</v>
      </c>
      <c r="O27" s="11"/>
      <c r="P27" s="7">
        <v>1312.11</v>
      </c>
      <c r="Q27" s="2"/>
      <c r="R27" s="6">
        <f t="shared" si="12"/>
        <v>0</v>
      </c>
      <c r="S27" s="2"/>
      <c r="T27" s="7">
        <v>141.78</v>
      </c>
      <c r="U27" s="2"/>
      <c r="V27" s="6">
        <f t="shared" si="13"/>
        <v>0</v>
      </c>
      <c r="W27" s="2"/>
      <c r="X27" s="7">
        <f t="shared" si="14"/>
        <v>1170.33</v>
      </c>
      <c r="Y27" s="2"/>
      <c r="Z27" s="6">
        <f t="shared" si="15"/>
        <v>8.2545493017350822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185.44</v>
      </c>
      <c r="E28" s="2"/>
      <c r="F28" s="6">
        <f t="shared" si="8"/>
        <v>0</v>
      </c>
      <c r="G28" s="2"/>
      <c r="H28" s="7"/>
      <c r="I28" s="2"/>
      <c r="J28" s="6">
        <f t="shared" si="9"/>
        <v>0</v>
      </c>
      <c r="K28" s="2"/>
      <c r="L28" s="7">
        <f t="shared" si="10"/>
        <v>185.44</v>
      </c>
      <c r="M28" s="2"/>
      <c r="N28" s="6">
        <f t="shared" si="11"/>
        <v>0</v>
      </c>
      <c r="O28" s="11"/>
      <c r="P28" s="7">
        <v>1061.6600000000001</v>
      </c>
      <c r="Q28" s="2"/>
      <c r="R28" s="6">
        <f t="shared" si="12"/>
        <v>0</v>
      </c>
      <c r="S28" s="2"/>
      <c r="T28" s="7"/>
      <c r="U28" s="2"/>
      <c r="V28" s="6">
        <f t="shared" si="13"/>
        <v>0</v>
      </c>
      <c r="W28" s="2"/>
      <c r="X28" s="7">
        <f t="shared" si="14"/>
        <v>1061.6600000000001</v>
      </c>
      <c r="Y28" s="2"/>
      <c r="Z28" s="6">
        <f t="shared" si="15"/>
        <v>0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6923.48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6923.48</v>
      </c>
      <c r="M29" s="1"/>
      <c r="N29" s="5">
        <f t="shared" ref="N29:N33" si="19">IF(H29=0,0,L29/H29)</f>
        <v>0</v>
      </c>
      <c r="O29" s="14"/>
      <c r="P29" s="1">
        <f>SUM(OSRRefP22_1x_0)</f>
        <v>35909.42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33757.729999999996</v>
      </c>
      <c r="Y29" s="1"/>
      <c r="Z29" s="5">
        <f t="shared" ref="Z29:Z33" si="23">IF(T29=0,0,X29/T29)</f>
        <v>15.688937532823035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6923.48</v>
      </c>
      <c r="E30" s="2"/>
      <c r="F30" s="6">
        <f t="shared" si="16"/>
        <v>0</v>
      </c>
      <c r="G30" s="2"/>
      <c r="H30" s="7"/>
      <c r="I30" s="2"/>
      <c r="J30" s="6">
        <f t="shared" si="17"/>
        <v>0</v>
      </c>
      <c r="K30" s="2"/>
      <c r="L30" s="7">
        <f t="shared" si="18"/>
        <v>6923.48</v>
      </c>
      <c r="M30" s="2"/>
      <c r="N30" s="6">
        <f t="shared" si="19"/>
        <v>0</v>
      </c>
      <c r="O30" s="11"/>
      <c r="P30" s="7">
        <v>13292.72</v>
      </c>
      <c r="Q30" s="2"/>
      <c r="R30" s="6">
        <f t="shared" si="20"/>
        <v>0</v>
      </c>
      <c r="S30" s="2"/>
      <c r="T30" s="7">
        <v>2151.69</v>
      </c>
      <c r="U30" s="2"/>
      <c r="V30" s="6">
        <f t="shared" si="21"/>
        <v>0</v>
      </c>
      <c r="W30" s="2"/>
      <c r="X30" s="7">
        <f t="shared" si="22"/>
        <v>11141.029999999999</v>
      </c>
      <c r="Y30" s="2"/>
      <c r="Z30" s="6">
        <f t="shared" si="23"/>
        <v>5.1778044234996674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14370.65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14370.65</v>
      </c>
      <c r="Y31" s="2"/>
      <c r="Z31" s="6">
        <f t="shared" si="23"/>
        <v>0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>
        <v>8246.0499999999993</v>
      </c>
      <c r="Q32" s="2"/>
      <c r="R32" s="6">
        <f t="shared" si="20"/>
        <v>0</v>
      </c>
      <c r="S32" s="2"/>
      <c r="T32" s="7"/>
      <c r="U32" s="2"/>
      <c r="V32" s="6">
        <f t="shared" si="21"/>
        <v>0</v>
      </c>
      <c r="W32" s="2"/>
      <c r="X32" s="7">
        <f t="shared" si="22"/>
        <v>8246.0499999999993</v>
      </c>
      <c r="Y32" s="2"/>
      <c r="Z32" s="6">
        <f t="shared" si="23"/>
        <v>0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0</v>
      </c>
      <c r="Q33" s="2"/>
      <c r="R33" s="6">
        <f t="shared" si="20"/>
        <v>0</v>
      </c>
      <c r="S33" s="2"/>
      <c r="T33" s="7"/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9" customFormat="1" outlineLevel="1" collapsed="1" x14ac:dyDescent="0.3">
      <c r="A34" s="28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0</v>
      </c>
      <c r="M34" s="1"/>
      <c r="N34" s="5">
        <f t="shared" ref="N34:N40" si="27">IF(H34=0,0,L34/H34)</f>
        <v>0</v>
      </c>
      <c r="O34" s="14"/>
      <c r="P34" s="1">
        <f>SUM(OSRRefP22_2x_0)</f>
        <v>263.58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263.58</v>
      </c>
      <c r="Y34" s="1"/>
      <c r="Z34" s="5">
        <f t="shared" ref="Z34:Z40" si="31">IF(T34=0,0,X34/T34)</f>
        <v>0</v>
      </c>
    </row>
    <row r="35" spans="1:26" s="24" customFormat="1" hidden="1" outlineLevel="2" x14ac:dyDescent="0.3">
      <c r="A35" s="27"/>
      <c r="B35" s="11" t="str">
        <f>CONCATENATE("          ", "6362", " - ", "ADVERTISING EXPENSE")</f>
        <v xml:space="preserve">          6362 - ADVERTISING EXPENSE</v>
      </c>
      <c r="C35" s="11"/>
      <c r="D35" s="7"/>
      <c r="E35" s="2"/>
      <c r="F35" s="6">
        <f t="shared" si="24"/>
        <v>0</v>
      </c>
      <c r="G35" s="2"/>
      <c r="H35" s="7"/>
      <c r="I35" s="2"/>
      <c r="J35" s="6">
        <f t="shared" si="25"/>
        <v>0</v>
      </c>
      <c r="K35" s="2"/>
      <c r="L35" s="7">
        <f t="shared" si="26"/>
        <v>0</v>
      </c>
      <c r="M35" s="2"/>
      <c r="N35" s="6">
        <f t="shared" si="27"/>
        <v>0</v>
      </c>
      <c r="O35" s="11"/>
      <c r="P35" s="7">
        <v>263.58</v>
      </c>
      <c r="Q35" s="2"/>
      <c r="R35" s="6">
        <f t="shared" si="28"/>
        <v>0</v>
      </c>
      <c r="S35" s="2"/>
      <c r="T35" s="7"/>
      <c r="U35" s="2"/>
      <c r="V35" s="6">
        <f t="shared" si="29"/>
        <v>0</v>
      </c>
      <c r="W35" s="2"/>
      <c r="X35" s="7">
        <f t="shared" si="30"/>
        <v>263.58</v>
      </c>
      <c r="Y35" s="2"/>
      <c r="Z35" s="6">
        <f t="shared" si="31"/>
        <v>0</v>
      </c>
    </row>
    <row r="36" spans="1:26" s="29" customFormat="1" outlineLevel="1" collapsed="1" x14ac:dyDescent="0.3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0.27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0.27</v>
      </c>
      <c r="M36" s="1"/>
      <c r="N36" s="5">
        <f t="shared" si="27"/>
        <v>0</v>
      </c>
      <c r="O36" s="14"/>
      <c r="P36" s="1">
        <f>SUM(OSRRefP22_3x_0)</f>
        <v>0.64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0.64</v>
      </c>
      <c r="Y36" s="1"/>
      <c r="Z36" s="5">
        <f t="shared" si="31"/>
        <v>0</v>
      </c>
    </row>
    <row r="37" spans="1:26" s="24" customFormat="1" hidden="1" outlineLevel="2" x14ac:dyDescent="0.3">
      <c r="A37" s="27"/>
      <c r="B37" s="11" t="str">
        <f>CONCATENATE("          ", "6381", " - ", "BANK/CREDIT CARD FEES")</f>
        <v xml:space="preserve">          6381 - BANK/CREDIT CARD FEES</v>
      </c>
      <c r="C37" s="11"/>
      <c r="D37" s="7">
        <v>0.27</v>
      </c>
      <c r="E37" s="2"/>
      <c r="F37" s="6">
        <f t="shared" si="24"/>
        <v>0</v>
      </c>
      <c r="G37" s="2"/>
      <c r="H37" s="7"/>
      <c r="I37" s="2"/>
      <c r="J37" s="6">
        <f t="shared" si="25"/>
        <v>0</v>
      </c>
      <c r="K37" s="2"/>
      <c r="L37" s="7">
        <f t="shared" si="26"/>
        <v>0.27</v>
      </c>
      <c r="M37" s="2"/>
      <c r="N37" s="6">
        <f t="shared" si="27"/>
        <v>0</v>
      </c>
      <c r="O37" s="11"/>
      <c r="P37" s="7">
        <v>0.64</v>
      </c>
      <c r="Q37" s="2"/>
      <c r="R37" s="6">
        <f t="shared" si="28"/>
        <v>0</v>
      </c>
      <c r="S37" s="2"/>
      <c r="T37" s="7"/>
      <c r="U37" s="2"/>
      <c r="V37" s="6">
        <f t="shared" si="29"/>
        <v>0</v>
      </c>
      <c r="W37" s="2"/>
      <c r="X37" s="7">
        <f t="shared" si="30"/>
        <v>0.64</v>
      </c>
      <c r="Y37" s="2"/>
      <c r="Z37" s="6">
        <f t="shared" si="31"/>
        <v>0</v>
      </c>
    </row>
    <row r="38" spans="1:26" s="29" customFormat="1" outlineLevel="1" collapsed="1" x14ac:dyDescent="0.3">
      <c r="A38" s="28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6701.08</v>
      </c>
      <c r="E38" s="1"/>
      <c r="F38" s="5">
        <f t="shared" si="24"/>
        <v>0</v>
      </c>
      <c r="G38" s="1"/>
      <c r="H38" s="1">
        <f>SUM(OSRRefH22_4x_0)</f>
        <v>6745.17</v>
      </c>
      <c r="I38" s="1"/>
      <c r="J38" s="5">
        <f t="shared" si="25"/>
        <v>0</v>
      </c>
      <c r="K38" s="1"/>
      <c r="L38" s="1">
        <f t="shared" si="26"/>
        <v>-44.090000000000146</v>
      </c>
      <c r="M38" s="1"/>
      <c r="N38" s="5">
        <f t="shared" si="27"/>
        <v>-6.5365291015645486E-3</v>
      </c>
      <c r="O38" s="14"/>
      <c r="P38" s="1">
        <f>SUM(OSRRefP22_4x_0)</f>
        <v>46995.7</v>
      </c>
      <c r="Q38" s="1"/>
      <c r="R38" s="5">
        <f t="shared" si="28"/>
        <v>0</v>
      </c>
      <c r="S38" s="1"/>
      <c r="T38" s="1">
        <f>SUM(OSRRefT22_4x_0)</f>
        <v>48513.34</v>
      </c>
      <c r="U38" s="1"/>
      <c r="V38" s="5">
        <f t="shared" si="29"/>
        <v>0</v>
      </c>
      <c r="W38" s="1"/>
      <c r="X38" s="1">
        <f t="shared" si="30"/>
        <v>-1517.6399999999994</v>
      </c>
      <c r="Y38" s="1"/>
      <c r="Z38" s="5">
        <f t="shared" si="31"/>
        <v>-3.1282941970187987E-2</v>
      </c>
    </row>
    <row r="39" spans="1:26" s="24" customFormat="1" hidden="1" outlineLevel="2" x14ac:dyDescent="0.3">
      <c r="A39" s="27"/>
      <c r="B39" s="11" t="str">
        <f>CONCATENATE("          ", "6321", " - ", "BUILDING DEPRECIATION")</f>
        <v xml:space="preserve">          6321 - BUILDING DEPRECIATION</v>
      </c>
      <c r="C39" s="11"/>
      <c r="D39" s="7">
        <v>6492.96</v>
      </c>
      <c r="E39" s="2"/>
      <c r="F39" s="6">
        <f t="shared" si="24"/>
        <v>0</v>
      </c>
      <c r="G39" s="2"/>
      <c r="H39" s="7">
        <v>6537.05</v>
      </c>
      <c r="I39" s="2"/>
      <c r="J39" s="6">
        <f t="shared" si="25"/>
        <v>0</v>
      </c>
      <c r="K39" s="2"/>
      <c r="L39" s="7">
        <f t="shared" si="26"/>
        <v>-44.090000000000146</v>
      </c>
      <c r="M39" s="2"/>
      <c r="N39" s="6">
        <f t="shared" si="27"/>
        <v>-6.7446325177259077E-3</v>
      </c>
      <c r="O39" s="11"/>
      <c r="P39" s="7">
        <v>45538.86</v>
      </c>
      <c r="Q39" s="2"/>
      <c r="R39" s="6">
        <f t="shared" si="28"/>
        <v>0</v>
      </c>
      <c r="S39" s="2"/>
      <c r="T39" s="7">
        <v>45759.35</v>
      </c>
      <c r="U39" s="2"/>
      <c r="V39" s="6">
        <f t="shared" si="29"/>
        <v>0</v>
      </c>
      <c r="W39" s="2"/>
      <c r="X39" s="7">
        <f t="shared" si="30"/>
        <v>-220.48999999999796</v>
      </c>
      <c r="Y39" s="2"/>
      <c r="Z39" s="6">
        <f t="shared" si="31"/>
        <v>-4.8184687938093084E-3</v>
      </c>
    </row>
    <row r="40" spans="1:26" s="24" customFormat="1" hidden="1" outlineLevel="2" x14ac:dyDescent="0.3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208.12</v>
      </c>
      <c r="E40" s="2"/>
      <c r="F40" s="6">
        <f t="shared" si="24"/>
        <v>0</v>
      </c>
      <c r="G40" s="2"/>
      <c r="H40" s="7">
        <v>208.12</v>
      </c>
      <c r="I40" s="2"/>
      <c r="J40" s="6">
        <f t="shared" si="25"/>
        <v>0</v>
      </c>
      <c r="K40" s="2"/>
      <c r="L40" s="7">
        <f t="shared" si="26"/>
        <v>0</v>
      </c>
      <c r="M40" s="2"/>
      <c r="N40" s="6">
        <f t="shared" si="27"/>
        <v>0</v>
      </c>
      <c r="O40" s="11"/>
      <c r="P40" s="7">
        <v>1456.84</v>
      </c>
      <c r="Q40" s="2"/>
      <c r="R40" s="6">
        <f t="shared" si="28"/>
        <v>0</v>
      </c>
      <c r="S40" s="2"/>
      <c r="T40" s="7">
        <v>2753.99</v>
      </c>
      <c r="U40" s="2"/>
      <c r="V40" s="6">
        <f t="shared" si="29"/>
        <v>0</v>
      </c>
      <c r="W40" s="2"/>
      <c r="X40" s="7">
        <f t="shared" si="30"/>
        <v>-1297.1499999999999</v>
      </c>
      <c r="Y40" s="2"/>
      <c r="Z40" s="6">
        <f t="shared" si="31"/>
        <v>-0.47100751999825707</v>
      </c>
    </row>
    <row r="41" spans="1:26" s="29" customFormat="1" outlineLevel="1" collapsed="1" x14ac:dyDescent="0.3">
      <c r="A41" s="28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SUM(OSRRefD22_5x_0)</f>
        <v>0</v>
      </c>
      <c r="E41" s="1"/>
      <c r="F41" s="5">
        <f t="shared" ref="F41:F49" si="32">IF(D$12=0,0,D41/D$12)</f>
        <v>0</v>
      </c>
      <c r="G41" s="1"/>
      <c r="H41" s="1">
        <f>SUM(OSRRefH22_5x_0)</f>
        <v>0</v>
      </c>
      <c r="I41" s="1"/>
      <c r="J41" s="5">
        <f t="shared" ref="J41:J49" si="33">IF(H$12=0,0,H41/H$12)</f>
        <v>0</v>
      </c>
      <c r="K41" s="1"/>
      <c r="L41" s="1">
        <f t="shared" ref="L41:L49" si="34">+D41-H41</f>
        <v>0</v>
      </c>
      <c r="M41" s="1"/>
      <c r="N41" s="5">
        <f t="shared" ref="N41:N49" si="35">IF(H41=0,0,L41/H41)</f>
        <v>0</v>
      </c>
      <c r="O41" s="14"/>
      <c r="P41" s="1">
        <f>SUM(OSRRefP22_5x_0)</f>
        <v>49.95</v>
      </c>
      <c r="Q41" s="1"/>
      <c r="R41" s="5">
        <f t="shared" ref="R41:R49" si="36">IF(P$12=0,0,P41/P$12)</f>
        <v>0</v>
      </c>
      <c r="S41" s="1"/>
      <c r="T41" s="1">
        <f>SUM(OSRRefT22_5x_0)</f>
        <v>0</v>
      </c>
      <c r="U41" s="1"/>
      <c r="V41" s="5">
        <f t="shared" ref="V41:V49" si="37">IF(T$12=0,0,T41/T$12)</f>
        <v>0</v>
      </c>
      <c r="W41" s="1"/>
      <c r="X41" s="1">
        <f t="shared" ref="X41:X49" si="38">+P41-T41</f>
        <v>49.95</v>
      </c>
      <c r="Y41" s="1"/>
      <c r="Z41" s="5">
        <f t="shared" ref="Z41:Z49" si="39">IF(T41=0,0,X41/T41)</f>
        <v>0</v>
      </c>
    </row>
    <row r="42" spans="1:26" s="24" customFormat="1" hidden="1" outlineLevel="2" x14ac:dyDescent="0.3">
      <c r="A42" s="27"/>
      <c r="B42" s="11" t="str">
        <f>CONCATENATE("          ", "6277", " - ", "EMPLOYEE APPRECIATION")</f>
        <v xml:space="preserve">          6277 - EMPLOYEE APPRECIATION</v>
      </c>
      <c r="C42" s="11"/>
      <c r="D42" s="7"/>
      <c r="E42" s="2"/>
      <c r="F42" s="6">
        <f t="shared" si="32"/>
        <v>0</v>
      </c>
      <c r="G42" s="2"/>
      <c r="H42" s="7"/>
      <c r="I42" s="2"/>
      <c r="J42" s="6">
        <f t="shared" si="33"/>
        <v>0</v>
      </c>
      <c r="K42" s="2"/>
      <c r="L42" s="7">
        <f t="shared" si="34"/>
        <v>0</v>
      </c>
      <c r="M42" s="2"/>
      <c r="N42" s="6">
        <f t="shared" si="35"/>
        <v>0</v>
      </c>
      <c r="O42" s="11"/>
      <c r="P42" s="7">
        <v>49.95</v>
      </c>
      <c r="Q42" s="2"/>
      <c r="R42" s="6">
        <f t="shared" si="36"/>
        <v>0</v>
      </c>
      <c r="S42" s="2"/>
      <c r="T42" s="7"/>
      <c r="U42" s="2"/>
      <c r="V42" s="6">
        <f t="shared" si="37"/>
        <v>0</v>
      </c>
      <c r="W42" s="2"/>
      <c r="X42" s="7">
        <f t="shared" si="38"/>
        <v>49.95</v>
      </c>
      <c r="Y42" s="2"/>
      <c r="Z42" s="6">
        <f t="shared" si="39"/>
        <v>0</v>
      </c>
    </row>
    <row r="43" spans="1:26" s="29" customFormat="1" outlineLevel="1" collapsed="1" x14ac:dyDescent="0.3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SUM(OSRRefD22_6x_0)</f>
        <v>732.75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732.75</v>
      </c>
      <c r="M43" s="1"/>
      <c r="N43" s="5">
        <f t="shared" si="35"/>
        <v>0</v>
      </c>
      <c r="O43" s="14"/>
      <c r="P43" s="1">
        <f>SUM(OSRRefP22_6x_0)</f>
        <v>3649.67</v>
      </c>
      <c r="Q43" s="1"/>
      <c r="R43" s="5">
        <f t="shared" si="36"/>
        <v>0</v>
      </c>
      <c r="S43" s="1"/>
      <c r="T43" s="1">
        <f>SUM(OSRRefT22_6x_0)</f>
        <v>263.72000000000003</v>
      </c>
      <c r="U43" s="1"/>
      <c r="V43" s="5">
        <f t="shared" si="37"/>
        <v>0</v>
      </c>
      <c r="W43" s="1"/>
      <c r="X43" s="1">
        <f t="shared" si="38"/>
        <v>3385.95</v>
      </c>
      <c r="Y43" s="1"/>
      <c r="Z43" s="5">
        <f t="shared" si="39"/>
        <v>12.839185499772483</v>
      </c>
    </row>
    <row r="44" spans="1:26" s="24" customFormat="1" hidden="1" outlineLevel="2" x14ac:dyDescent="0.3">
      <c r="A44" s="27"/>
      <c r="B44" s="11" t="str">
        <f>CONCATENATE("          ", "6351", " - ", "EQUIPMENT RENTAL")</f>
        <v xml:space="preserve">          6351 - EQUIPMENT RENTAL</v>
      </c>
      <c r="C44" s="11"/>
      <c r="D44" s="7">
        <v>732.75</v>
      </c>
      <c r="E44" s="2"/>
      <c r="F44" s="6">
        <f t="shared" si="32"/>
        <v>0</v>
      </c>
      <c r="G44" s="2"/>
      <c r="H44" s="7"/>
      <c r="I44" s="2"/>
      <c r="J44" s="6">
        <f t="shared" si="33"/>
        <v>0</v>
      </c>
      <c r="K44" s="2"/>
      <c r="L44" s="7">
        <f t="shared" si="34"/>
        <v>732.75</v>
      </c>
      <c r="M44" s="2"/>
      <c r="N44" s="6">
        <f t="shared" si="35"/>
        <v>0</v>
      </c>
      <c r="O44" s="11"/>
      <c r="P44" s="7">
        <v>3649.67</v>
      </c>
      <c r="Q44" s="2"/>
      <c r="R44" s="6">
        <f t="shared" si="36"/>
        <v>0</v>
      </c>
      <c r="S44" s="2"/>
      <c r="T44" s="7">
        <v>263.72000000000003</v>
      </c>
      <c r="U44" s="2"/>
      <c r="V44" s="6">
        <f t="shared" si="37"/>
        <v>0</v>
      </c>
      <c r="W44" s="2"/>
      <c r="X44" s="7">
        <f t="shared" si="38"/>
        <v>3385.95</v>
      </c>
      <c r="Y44" s="2"/>
      <c r="Z44" s="6">
        <f t="shared" si="39"/>
        <v>12.839185499772483</v>
      </c>
    </row>
    <row r="45" spans="1:26" s="29" customFormat="1" outlineLevel="1" collapsed="1" x14ac:dyDescent="0.3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32"/>
        <v>0</v>
      </c>
      <c r="G45" s="1"/>
      <c r="H45" s="1">
        <f>SUM(OSRRefH22_7x_0)</f>
        <v>0</v>
      </c>
      <c r="I45" s="1"/>
      <c r="J45" s="5">
        <f t="shared" si="33"/>
        <v>0</v>
      </c>
      <c r="K45" s="1"/>
      <c r="L45" s="1">
        <f t="shared" si="34"/>
        <v>0</v>
      </c>
      <c r="M45" s="1"/>
      <c r="N45" s="5">
        <f t="shared" si="35"/>
        <v>0</v>
      </c>
      <c r="O45" s="14"/>
      <c r="P45" s="1">
        <f>SUM(OSRRefP22_7x_0)</f>
        <v>1314.55</v>
      </c>
      <c r="Q45" s="1"/>
      <c r="R45" s="5">
        <f t="shared" si="36"/>
        <v>0</v>
      </c>
      <c r="S45" s="1"/>
      <c r="T45" s="1">
        <f>SUM(OSRRefT22_7x_0)</f>
        <v>1284.55</v>
      </c>
      <c r="U45" s="1"/>
      <c r="V45" s="5">
        <f t="shared" si="37"/>
        <v>0</v>
      </c>
      <c r="W45" s="1"/>
      <c r="X45" s="1">
        <f t="shared" si="38"/>
        <v>30</v>
      </c>
      <c r="Y45" s="1"/>
      <c r="Z45" s="5">
        <f t="shared" si="39"/>
        <v>2.3354482114359115E-2</v>
      </c>
    </row>
    <row r="46" spans="1:26" s="24" customFormat="1" hidden="1" outlineLevel="2" x14ac:dyDescent="0.3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2"/>
        <v>0</v>
      </c>
      <c r="G46" s="2"/>
      <c r="H46" s="7"/>
      <c r="I46" s="2"/>
      <c r="J46" s="6">
        <f t="shared" si="33"/>
        <v>0</v>
      </c>
      <c r="K46" s="2"/>
      <c r="L46" s="7">
        <f t="shared" si="34"/>
        <v>0</v>
      </c>
      <c r="M46" s="2"/>
      <c r="N46" s="6">
        <f t="shared" si="35"/>
        <v>0</v>
      </c>
      <c r="O46" s="11"/>
      <c r="P46" s="7">
        <v>1314.55</v>
      </c>
      <c r="Q46" s="2"/>
      <c r="R46" s="6">
        <f t="shared" si="36"/>
        <v>0</v>
      </c>
      <c r="S46" s="2"/>
      <c r="T46" s="7">
        <v>1284.55</v>
      </c>
      <c r="U46" s="2"/>
      <c r="V46" s="6">
        <f t="shared" si="37"/>
        <v>0</v>
      </c>
      <c r="W46" s="2"/>
      <c r="X46" s="7">
        <f t="shared" si="38"/>
        <v>30</v>
      </c>
      <c r="Y46" s="2"/>
      <c r="Z46" s="6">
        <f t="shared" si="39"/>
        <v>2.3354482114359115E-2</v>
      </c>
    </row>
    <row r="47" spans="1:26" s="29" customFormat="1" outlineLevel="1" collapsed="1" x14ac:dyDescent="0.3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725.35</v>
      </c>
      <c r="E47" s="1"/>
      <c r="F47" s="5">
        <f t="shared" si="32"/>
        <v>0</v>
      </c>
      <c r="G47" s="1"/>
      <c r="H47" s="1">
        <f>SUM(OSRRefH22_8x_0)</f>
        <v>0</v>
      </c>
      <c r="I47" s="1"/>
      <c r="J47" s="5">
        <f t="shared" si="33"/>
        <v>0</v>
      </c>
      <c r="K47" s="1"/>
      <c r="L47" s="1">
        <f t="shared" si="34"/>
        <v>725.35</v>
      </c>
      <c r="M47" s="1"/>
      <c r="N47" s="5">
        <f t="shared" si="35"/>
        <v>0</v>
      </c>
      <c r="O47" s="14"/>
      <c r="P47" s="1">
        <f>SUM(OSRRefP22_8x_0)</f>
        <v>8289.41</v>
      </c>
      <c r="Q47" s="1"/>
      <c r="R47" s="5">
        <f t="shared" si="36"/>
        <v>0</v>
      </c>
      <c r="S47" s="1"/>
      <c r="T47" s="1">
        <f>SUM(OSRRefT22_8x_0)</f>
        <v>476.33</v>
      </c>
      <c r="U47" s="1"/>
      <c r="V47" s="5">
        <f t="shared" si="37"/>
        <v>0</v>
      </c>
      <c r="W47" s="1"/>
      <c r="X47" s="1">
        <f t="shared" si="38"/>
        <v>7813.08</v>
      </c>
      <c r="Y47" s="1"/>
      <c r="Z47" s="5">
        <f t="shared" si="39"/>
        <v>16.402662020028131</v>
      </c>
    </row>
    <row r="48" spans="1:26" s="24" customFormat="1" hidden="1" outlineLevel="2" x14ac:dyDescent="0.3">
      <c r="A48" s="27"/>
      <c r="B48" s="11" t="str">
        <f>CONCATENATE("          ", "6373", " - ", "MAINTENANCE CONTRACTS")</f>
        <v xml:space="preserve">          6373 - MAINTENANCE CONTRACTS</v>
      </c>
      <c r="C48" s="11"/>
      <c r="D48" s="7">
        <v>700</v>
      </c>
      <c r="E48" s="2"/>
      <c r="F48" s="6">
        <f t="shared" si="32"/>
        <v>0</v>
      </c>
      <c r="G48" s="2"/>
      <c r="H48" s="7"/>
      <c r="I48" s="2"/>
      <c r="J48" s="6">
        <f t="shared" si="33"/>
        <v>0</v>
      </c>
      <c r="K48" s="2"/>
      <c r="L48" s="7">
        <f t="shared" si="34"/>
        <v>700</v>
      </c>
      <c r="M48" s="2"/>
      <c r="N48" s="6">
        <f t="shared" si="35"/>
        <v>0</v>
      </c>
      <c r="O48" s="11"/>
      <c r="P48" s="7">
        <v>3141.43</v>
      </c>
      <c r="Q48" s="2"/>
      <c r="R48" s="6">
        <f t="shared" si="36"/>
        <v>0</v>
      </c>
      <c r="S48" s="2"/>
      <c r="T48" s="7">
        <v>476.33</v>
      </c>
      <c r="U48" s="2"/>
      <c r="V48" s="6">
        <f t="shared" si="37"/>
        <v>0</v>
      </c>
      <c r="W48" s="2"/>
      <c r="X48" s="7">
        <f t="shared" si="38"/>
        <v>2665.1</v>
      </c>
      <c r="Y48" s="2"/>
      <c r="Z48" s="6">
        <f t="shared" si="39"/>
        <v>5.5950706443012201</v>
      </c>
    </row>
    <row r="49" spans="1:26" s="24" customFormat="1" hidden="1" outlineLevel="2" x14ac:dyDescent="0.3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25.35</v>
      </c>
      <c r="E49" s="2"/>
      <c r="F49" s="6">
        <f t="shared" si="32"/>
        <v>0</v>
      </c>
      <c r="G49" s="2"/>
      <c r="H49" s="7"/>
      <c r="I49" s="2"/>
      <c r="J49" s="6">
        <f t="shared" si="33"/>
        <v>0</v>
      </c>
      <c r="K49" s="2"/>
      <c r="L49" s="7">
        <f t="shared" si="34"/>
        <v>25.35</v>
      </c>
      <c r="M49" s="2"/>
      <c r="N49" s="6">
        <f t="shared" si="35"/>
        <v>0</v>
      </c>
      <c r="O49" s="11"/>
      <c r="P49" s="7">
        <v>5147.9799999999996</v>
      </c>
      <c r="Q49" s="2"/>
      <c r="R49" s="6">
        <f t="shared" si="36"/>
        <v>0</v>
      </c>
      <c r="S49" s="2"/>
      <c r="T49" s="7"/>
      <c r="U49" s="2"/>
      <c r="V49" s="6">
        <f t="shared" si="37"/>
        <v>0</v>
      </c>
      <c r="W49" s="2"/>
      <c r="X49" s="7">
        <f t="shared" si="38"/>
        <v>5147.9799999999996</v>
      </c>
      <c r="Y49" s="2"/>
      <c r="Z49" s="6">
        <f t="shared" si="39"/>
        <v>0</v>
      </c>
    </row>
    <row r="50" spans="1:26" s="29" customFormat="1" outlineLevel="1" collapsed="1" x14ac:dyDescent="0.3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SUM(OSRRefD22_9x_0)</f>
        <v>0</v>
      </c>
      <c r="E50" s="1"/>
      <c r="F50" s="5">
        <f t="shared" ref="F50:F59" si="40">IF(D$12=0,0,D50/D$12)</f>
        <v>0</v>
      </c>
      <c r="G50" s="1"/>
      <c r="H50" s="1">
        <f>SUM(OSRRefH22_9x_0)</f>
        <v>0</v>
      </c>
      <c r="I50" s="1"/>
      <c r="J50" s="5">
        <f t="shared" ref="J50:J59" si="41">IF(H$12=0,0,H50/H$12)</f>
        <v>0</v>
      </c>
      <c r="K50" s="1"/>
      <c r="L50" s="1">
        <f t="shared" ref="L50:L59" si="42">+D50-H50</f>
        <v>0</v>
      </c>
      <c r="M50" s="1"/>
      <c r="N50" s="5">
        <f t="shared" ref="N50:N59" si="43">IF(H50=0,0,L50/H50)</f>
        <v>0</v>
      </c>
      <c r="O50" s="14"/>
      <c r="P50" s="1">
        <f>SUM(OSRRefP22_9x_0)</f>
        <v>260</v>
      </c>
      <c r="Q50" s="1"/>
      <c r="R50" s="5">
        <f t="shared" ref="R50:R59" si="44">IF(P$12=0,0,P50/P$12)</f>
        <v>0</v>
      </c>
      <c r="S50" s="1"/>
      <c r="T50" s="1">
        <f>SUM(OSRRefT22_9x_0)</f>
        <v>0</v>
      </c>
      <c r="U50" s="1"/>
      <c r="V50" s="5">
        <f t="shared" ref="V50:V59" si="45">IF(T$12=0,0,T50/T$12)</f>
        <v>0</v>
      </c>
      <c r="W50" s="1"/>
      <c r="X50" s="1">
        <f t="shared" ref="X50:X59" si="46">+P50-T50</f>
        <v>260</v>
      </c>
      <c r="Y50" s="1"/>
      <c r="Z50" s="5">
        <f t="shared" ref="Z50:Z59" si="47">IF(T50=0,0,X50/T50)</f>
        <v>0</v>
      </c>
    </row>
    <row r="51" spans="1:26" s="24" customFormat="1" hidden="1" outlineLevel="2" x14ac:dyDescent="0.3">
      <c r="A51" s="27"/>
      <c r="B51" s="11" t="str">
        <f>CONCATENATE("          ", "6285", " - ", "JANITORIAL SERVICES")</f>
        <v xml:space="preserve">          6285 - JANITORIAL SERVICES</v>
      </c>
      <c r="C51" s="11"/>
      <c r="D51" s="7"/>
      <c r="E51" s="2"/>
      <c r="F51" s="6">
        <f t="shared" si="40"/>
        <v>0</v>
      </c>
      <c r="G51" s="2"/>
      <c r="H51" s="7"/>
      <c r="I51" s="2"/>
      <c r="J51" s="6">
        <f t="shared" si="41"/>
        <v>0</v>
      </c>
      <c r="K51" s="2"/>
      <c r="L51" s="7">
        <f t="shared" si="42"/>
        <v>0</v>
      </c>
      <c r="M51" s="2"/>
      <c r="N51" s="6">
        <f t="shared" si="43"/>
        <v>0</v>
      </c>
      <c r="O51" s="11"/>
      <c r="P51" s="7">
        <v>260</v>
      </c>
      <c r="Q51" s="2"/>
      <c r="R51" s="6">
        <f t="shared" si="44"/>
        <v>0</v>
      </c>
      <c r="S51" s="2"/>
      <c r="T51" s="7"/>
      <c r="U51" s="2"/>
      <c r="V51" s="6">
        <f t="shared" si="45"/>
        <v>0</v>
      </c>
      <c r="W51" s="2"/>
      <c r="X51" s="7">
        <f t="shared" si="46"/>
        <v>260</v>
      </c>
      <c r="Y51" s="2"/>
      <c r="Z51" s="6">
        <f t="shared" si="47"/>
        <v>0</v>
      </c>
    </row>
    <row r="52" spans="1:26" s="29" customFormat="1" outlineLevel="1" collapsed="1" x14ac:dyDescent="0.3">
      <c r="A52" s="28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SUM(OSRRefD22_10x_0)</f>
        <v>214.92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214.92</v>
      </c>
      <c r="M52" s="1"/>
      <c r="N52" s="5">
        <f t="shared" si="43"/>
        <v>0</v>
      </c>
      <c r="O52" s="14"/>
      <c r="P52" s="1">
        <f>SUM(OSRRefP22_10x_0)</f>
        <v>1441.12</v>
      </c>
      <c r="Q52" s="1"/>
      <c r="R52" s="5">
        <f t="shared" si="44"/>
        <v>0</v>
      </c>
      <c r="S52" s="1"/>
      <c r="T52" s="1">
        <f>SUM(OSRRefT22_10x_0)</f>
        <v>0</v>
      </c>
      <c r="U52" s="1"/>
      <c r="V52" s="5">
        <f t="shared" si="45"/>
        <v>0</v>
      </c>
      <c r="W52" s="1"/>
      <c r="X52" s="1">
        <f t="shared" si="46"/>
        <v>1441.12</v>
      </c>
      <c r="Y52" s="1"/>
      <c r="Z52" s="5">
        <f t="shared" si="47"/>
        <v>0</v>
      </c>
    </row>
    <row r="53" spans="1:26" s="24" customFormat="1" hidden="1" outlineLevel="2" x14ac:dyDescent="0.3">
      <c r="A53" s="27"/>
      <c r="B53" s="11" t="str">
        <f>CONCATENATE("          ", "6275", " - ", "SUBSCRIPTIONS")</f>
        <v xml:space="preserve">          6275 - SUBSCRIPTIONS</v>
      </c>
      <c r="C53" s="11"/>
      <c r="D53" s="7">
        <v>214.92</v>
      </c>
      <c r="E53" s="2"/>
      <c r="F53" s="6">
        <f t="shared" si="40"/>
        <v>0</v>
      </c>
      <c r="G53" s="2"/>
      <c r="H53" s="7"/>
      <c r="I53" s="2"/>
      <c r="J53" s="6">
        <f t="shared" si="41"/>
        <v>0</v>
      </c>
      <c r="K53" s="2"/>
      <c r="L53" s="7">
        <f t="shared" si="42"/>
        <v>214.92</v>
      </c>
      <c r="M53" s="2"/>
      <c r="N53" s="6">
        <f t="shared" si="43"/>
        <v>0</v>
      </c>
      <c r="O53" s="11"/>
      <c r="P53" s="7">
        <v>1441.12</v>
      </c>
      <c r="Q53" s="2"/>
      <c r="R53" s="6">
        <f t="shared" si="44"/>
        <v>0</v>
      </c>
      <c r="S53" s="2"/>
      <c r="T53" s="7"/>
      <c r="U53" s="2"/>
      <c r="V53" s="6">
        <f t="shared" si="45"/>
        <v>0</v>
      </c>
      <c r="W53" s="2"/>
      <c r="X53" s="7">
        <f t="shared" si="46"/>
        <v>1441.12</v>
      </c>
      <c r="Y53" s="2"/>
      <c r="Z53" s="6">
        <f t="shared" si="47"/>
        <v>0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SUM(OSRRefD22_11x_0)</f>
        <v>27.55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27.55</v>
      </c>
      <c r="M54" s="1"/>
      <c r="N54" s="5">
        <f t="shared" si="43"/>
        <v>0</v>
      </c>
      <c r="O54" s="14"/>
      <c r="P54" s="1">
        <f>SUM(OSRRefP22_11x_0)</f>
        <v>2380.84</v>
      </c>
      <c r="Q54" s="1"/>
      <c r="R54" s="5">
        <f t="shared" si="44"/>
        <v>0</v>
      </c>
      <c r="S54" s="1"/>
      <c r="T54" s="1">
        <f>SUM(OSRRefT22_11x_0)</f>
        <v>0</v>
      </c>
      <c r="U54" s="1"/>
      <c r="V54" s="5">
        <f t="shared" si="45"/>
        <v>0</v>
      </c>
      <c r="W54" s="1"/>
      <c r="X54" s="1">
        <f t="shared" si="46"/>
        <v>2380.84</v>
      </c>
      <c r="Y54" s="1"/>
      <c r="Z54" s="5">
        <f t="shared" si="47"/>
        <v>0</v>
      </c>
    </row>
    <row r="55" spans="1:26" s="24" customFormat="1" hidden="1" outlineLevel="2" x14ac:dyDescent="0.3">
      <c r="A55" s="27"/>
      <c r="B55" s="11" t="str">
        <f>CONCATENATE("          ", "6237", " - ", "JANITORIAL SUPPLIES")</f>
        <v xml:space="preserve">          6237 - JANITORIAL SUPPLIES</v>
      </c>
      <c r="C55" s="11"/>
      <c r="D55" s="7"/>
      <c r="E55" s="2"/>
      <c r="F55" s="6">
        <f t="shared" si="40"/>
        <v>0</v>
      </c>
      <c r="G55" s="2"/>
      <c r="H55" s="7"/>
      <c r="I55" s="2"/>
      <c r="J55" s="6">
        <f t="shared" si="41"/>
        <v>0</v>
      </c>
      <c r="K55" s="2"/>
      <c r="L55" s="7">
        <f t="shared" si="42"/>
        <v>0</v>
      </c>
      <c r="M55" s="2"/>
      <c r="N55" s="6">
        <f t="shared" si="43"/>
        <v>0</v>
      </c>
      <c r="O55" s="11"/>
      <c r="P55" s="7">
        <v>796.76</v>
      </c>
      <c r="Q55" s="2"/>
      <c r="R55" s="6">
        <f t="shared" si="44"/>
        <v>0</v>
      </c>
      <c r="S55" s="2"/>
      <c r="T55" s="7"/>
      <c r="U55" s="2"/>
      <c r="V55" s="6">
        <f t="shared" si="45"/>
        <v>0</v>
      </c>
      <c r="W55" s="2"/>
      <c r="X55" s="7">
        <f t="shared" si="46"/>
        <v>796.76</v>
      </c>
      <c r="Y55" s="2"/>
      <c r="Z55" s="6">
        <f t="shared" si="47"/>
        <v>0</v>
      </c>
    </row>
    <row r="56" spans="1:26" s="24" customFormat="1" hidden="1" outlineLevel="2" x14ac:dyDescent="0.3">
      <c r="A56" s="27"/>
      <c r="B56" s="11" t="str">
        <f>CONCATENATE("          ", "6239", " - ", "KITCHEN SUPPLIES")</f>
        <v xml:space="preserve">          6239 - KITCHEN SUPPLIES</v>
      </c>
      <c r="C56" s="11"/>
      <c r="D56" s="7">
        <v>27.55</v>
      </c>
      <c r="E56" s="2"/>
      <c r="F56" s="6">
        <f t="shared" si="40"/>
        <v>0</v>
      </c>
      <c r="G56" s="2"/>
      <c r="H56" s="7"/>
      <c r="I56" s="2"/>
      <c r="J56" s="6">
        <f t="shared" si="41"/>
        <v>0</v>
      </c>
      <c r="K56" s="2"/>
      <c r="L56" s="7">
        <f t="shared" si="42"/>
        <v>27.55</v>
      </c>
      <c r="M56" s="2"/>
      <c r="N56" s="6">
        <f t="shared" si="43"/>
        <v>0</v>
      </c>
      <c r="O56" s="11"/>
      <c r="P56" s="7">
        <v>214.67</v>
      </c>
      <c r="Q56" s="2"/>
      <c r="R56" s="6">
        <f t="shared" si="44"/>
        <v>0</v>
      </c>
      <c r="S56" s="2"/>
      <c r="T56" s="7"/>
      <c r="U56" s="2"/>
      <c r="V56" s="6">
        <f t="shared" si="45"/>
        <v>0</v>
      </c>
      <c r="W56" s="2"/>
      <c r="X56" s="7">
        <f t="shared" si="46"/>
        <v>214.67</v>
      </c>
      <c r="Y56" s="2"/>
      <c r="Z56" s="6">
        <f t="shared" si="47"/>
        <v>0</v>
      </c>
    </row>
    <row r="57" spans="1:26" s="24" customFormat="1" hidden="1" outlineLevel="2" x14ac:dyDescent="0.3">
      <c r="A57" s="27"/>
      <c r="B57" s="11" t="str">
        <f>CONCATENATE("          ", "6241", " - ", "OFFICE EXPENSE")</f>
        <v xml:space="preserve">          6241 - OFFICE EXPENSE</v>
      </c>
      <c r="C57" s="11"/>
      <c r="D57" s="7"/>
      <c r="E57" s="2"/>
      <c r="F57" s="6">
        <f t="shared" si="40"/>
        <v>0</v>
      </c>
      <c r="G57" s="2"/>
      <c r="H57" s="7"/>
      <c r="I57" s="2"/>
      <c r="J57" s="6">
        <f t="shared" si="41"/>
        <v>0</v>
      </c>
      <c r="K57" s="2"/>
      <c r="L57" s="7">
        <f t="shared" si="42"/>
        <v>0</v>
      </c>
      <c r="M57" s="2"/>
      <c r="N57" s="6">
        <f t="shared" si="43"/>
        <v>0</v>
      </c>
      <c r="O57" s="11"/>
      <c r="P57" s="7">
        <v>893.22</v>
      </c>
      <c r="Q57" s="2"/>
      <c r="R57" s="6">
        <f t="shared" si="44"/>
        <v>0</v>
      </c>
      <c r="S57" s="2"/>
      <c r="T57" s="7"/>
      <c r="U57" s="2"/>
      <c r="V57" s="6">
        <f t="shared" si="45"/>
        <v>0</v>
      </c>
      <c r="W57" s="2"/>
      <c r="X57" s="7">
        <f t="shared" si="46"/>
        <v>893.22</v>
      </c>
      <c r="Y57" s="2"/>
      <c r="Z57" s="6">
        <f t="shared" si="47"/>
        <v>0</v>
      </c>
    </row>
    <row r="58" spans="1:26" s="24" customFormat="1" hidden="1" outlineLevel="2" x14ac:dyDescent="0.3">
      <c r="A58" s="27"/>
      <c r="B58" s="11" t="str">
        <f>CONCATENATE("          ", "6243", " - ", "PAPER SUPPLIES")</f>
        <v xml:space="preserve">          6243 - PAPER SUPPLIES</v>
      </c>
      <c r="C58" s="11"/>
      <c r="D58" s="7"/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0</v>
      </c>
      <c r="M58" s="2"/>
      <c r="N58" s="6">
        <f t="shared" si="43"/>
        <v>0</v>
      </c>
      <c r="O58" s="11"/>
      <c r="P58" s="7">
        <v>138.19</v>
      </c>
      <c r="Q58" s="2"/>
      <c r="R58" s="6">
        <f t="shared" si="44"/>
        <v>0</v>
      </c>
      <c r="S58" s="2"/>
      <c r="T58" s="7"/>
      <c r="U58" s="2"/>
      <c r="V58" s="6">
        <f t="shared" si="45"/>
        <v>0</v>
      </c>
      <c r="W58" s="2"/>
      <c r="X58" s="7">
        <f t="shared" si="46"/>
        <v>138.19</v>
      </c>
      <c r="Y58" s="2"/>
      <c r="Z58" s="6">
        <f t="shared" si="47"/>
        <v>0</v>
      </c>
    </row>
    <row r="59" spans="1:26" s="24" customFormat="1" hidden="1" outlineLevel="2" x14ac:dyDescent="0.3">
      <c r="A59" s="27"/>
      <c r="B59" s="11" t="str">
        <f>CONCATENATE("          ", "6245", " - ", "PRINTING")</f>
        <v xml:space="preserve">          6245 - PRINTING</v>
      </c>
      <c r="C59" s="11"/>
      <c r="D59" s="7"/>
      <c r="E59" s="2"/>
      <c r="F59" s="6">
        <f t="shared" si="40"/>
        <v>0</v>
      </c>
      <c r="G59" s="2"/>
      <c r="H59" s="7"/>
      <c r="I59" s="2"/>
      <c r="J59" s="6">
        <f t="shared" si="41"/>
        <v>0</v>
      </c>
      <c r="K59" s="2"/>
      <c r="L59" s="7">
        <f t="shared" si="42"/>
        <v>0</v>
      </c>
      <c r="M59" s="2"/>
      <c r="N59" s="6">
        <f t="shared" si="43"/>
        <v>0</v>
      </c>
      <c r="O59" s="11"/>
      <c r="P59" s="7">
        <v>338</v>
      </c>
      <c r="Q59" s="2"/>
      <c r="R59" s="6">
        <f t="shared" si="44"/>
        <v>0</v>
      </c>
      <c r="S59" s="2"/>
      <c r="T59" s="7"/>
      <c r="U59" s="2"/>
      <c r="V59" s="6">
        <f t="shared" si="45"/>
        <v>0</v>
      </c>
      <c r="W59" s="2"/>
      <c r="X59" s="7">
        <f t="shared" si="46"/>
        <v>338</v>
      </c>
      <c r="Y59" s="2"/>
      <c r="Z59" s="6">
        <f t="shared" si="47"/>
        <v>0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181.5</v>
      </c>
      <c r="E60" s="1"/>
      <c r="F60" s="5">
        <f t="shared" ref="F60:F61" si="48">IF(D$12=0,0,D60/D$12)</f>
        <v>0</v>
      </c>
      <c r="G60" s="1"/>
      <c r="H60" s="1">
        <f>SUM(OSRRefH22_12x_0)</f>
        <v>0</v>
      </c>
      <c r="I60" s="1"/>
      <c r="J60" s="5">
        <f t="shared" ref="J60:J61" si="49">IF(H$12=0,0,H60/H$12)</f>
        <v>0</v>
      </c>
      <c r="K60" s="1"/>
      <c r="L60" s="1">
        <f t="shared" ref="L60:L61" si="50">+D60-H60</f>
        <v>181.5</v>
      </c>
      <c r="M60" s="1"/>
      <c r="N60" s="5">
        <f t="shared" ref="N60:N61" si="51">IF(H60=0,0,L60/H60)</f>
        <v>0</v>
      </c>
      <c r="O60" s="14"/>
      <c r="P60" s="1">
        <f>SUM(OSRRefP22_12x_0)</f>
        <v>256.5</v>
      </c>
      <c r="Q60" s="1"/>
      <c r="R60" s="5">
        <f t="shared" ref="R60:R61" si="52">IF(P$12=0,0,P60/P$12)</f>
        <v>0</v>
      </c>
      <c r="S60" s="1"/>
      <c r="T60" s="1">
        <f>SUM(OSRRefT22_12x_0)</f>
        <v>250.87</v>
      </c>
      <c r="U60" s="1"/>
      <c r="V60" s="5">
        <f t="shared" ref="V60:V61" si="53">IF(T$12=0,0,T60/T$12)</f>
        <v>0</v>
      </c>
      <c r="W60" s="1"/>
      <c r="X60" s="1">
        <f t="shared" ref="X60:X61" si="54">+P60-T60</f>
        <v>5.6299999999999955</v>
      </c>
      <c r="Y60" s="1"/>
      <c r="Z60" s="5">
        <f t="shared" ref="Z60:Z61" si="55">IF(T60=0,0,X60/T60)</f>
        <v>2.2441902180412147E-2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7">
        <v>181.5</v>
      </c>
      <c r="E61" s="2"/>
      <c r="F61" s="6">
        <f t="shared" si="48"/>
        <v>0</v>
      </c>
      <c r="G61" s="2"/>
      <c r="H61" s="7"/>
      <c r="I61" s="2"/>
      <c r="J61" s="6">
        <f t="shared" si="49"/>
        <v>0</v>
      </c>
      <c r="K61" s="2"/>
      <c r="L61" s="7">
        <f t="shared" si="50"/>
        <v>181.5</v>
      </c>
      <c r="M61" s="2"/>
      <c r="N61" s="6">
        <f t="shared" si="51"/>
        <v>0</v>
      </c>
      <c r="O61" s="11"/>
      <c r="P61" s="7">
        <v>256.5</v>
      </c>
      <c r="Q61" s="2"/>
      <c r="R61" s="6">
        <f t="shared" si="52"/>
        <v>0</v>
      </c>
      <c r="S61" s="2"/>
      <c r="T61" s="7">
        <v>250.87</v>
      </c>
      <c r="U61" s="2"/>
      <c r="V61" s="6">
        <f t="shared" si="53"/>
        <v>0</v>
      </c>
      <c r="W61" s="2"/>
      <c r="X61" s="7">
        <f t="shared" si="54"/>
        <v>5.6299999999999955</v>
      </c>
      <c r="Y61" s="2"/>
      <c r="Z61" s="6">
        <f t="shared" si="55"/>
        <v>2.2441902180412147E-2</v>
      </c>
    </row>
    <row r="62" spans="1:26" s="52" customFormat="1" x14ac:dyDescent="0.3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3">
      <c r="A63" s="10"/>
      <c r="B63" s="26" t="s">
        <v>292</v>
      </c>
      <c r="C63" s="10"/>
      <c r="D63" s="4">
        <f>SUM(OSRRefD25x_0)</f>
        <v>0</v>
      </c>
      <c r="E63" s="4"/>
      <c r="F63" s="12">
        <f t="shared" ref="F63:F64" si="56">IF(D$12=0,0,D63/D$12)</f>
        <v>0</v>
      </c>
      <c r="G63" s="4"/>
      <c r="H63" s="4">
        <f>SUM(OSRRefH25x_0)</f>
        <v>0</v>
      </c>
      <c r="I63" s="4"/>
      <c r="J63" s="12">
        <f t="shared" ref="J63:J64" si="57">IF(H$12=0,0,H63/H$12)</f>
        <v>0</v>
      </c>
      <c r="K63" s="4"/>
      <c r="L63" s="4">
        <f t="shared" ref="L63:L64" si="58">+D63-H63</f>
        <v>0</v>
      </c>
      <c r="M63" s="4"/>
      <c r="N63" s="12">
        <f t="shared" ref="N63:N64" si="59">IF(H63=0,0,L63/H63)</f>
        <v>0</v>
      </c>
      <c r="O63" s="10"/>
      <c r="P63" s="4">
        <f>SUM(OSRRefP25x_0)</f>
        <v>341.5</v>
      </c>
      <c r="Q63" s="4"/>
      <c r="R63" s="12">
        <f t="shared" ref="R63:R64" si="60">IF(P$12=0,0,P63/P$12)</f>
        <v>0</v>
      </c>
      <c r="S63" s="4"/>
      <c r="T63" s="4">
        <f>SUM(OSRRefT25x_0)</f>
        <v>111.42</v>
      </c>
      <c r="U63" s="4"/>
      <c r="V63" s="12">
        <f t="shared" ref="V63:V64" si="61">IF(T$12=0,0,T63/T$12)</f>
        <v>0</v>
      </c>
      <c r="W63" s="4"/>
      <c r="X63" s="4">
        <f t="shared" ref="X63:X64" si="62">+P63-T63</f>
        <v>230.07999999999998</v>
      </c>
      <c r="Y63" s="4"/>
      <c r="Z63" s="12">
        <f t="shared" ref="Z63:Z64" si="63">IF(T63=0,0,X63/T63)</f>
        <v>2.0649793573864654</v>
      </c>
    </row>
    <row r="64" spans="1:26" s="24" customFormat="1" hidden="1" outlineLevel="1" x14ac:dyDescent="0.3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56"/>
        <v>0</v>
      </c>
      <c r="G64" s="2"/>
      <c r="H64" s="2">
        <f>0</f>
        <v>0</v>
      </c>
      <c r="I64" s="2"/>
      <c r="J64" s="19">
        <f t="shared" si="57"/>
        <v>0</v>
      </c>
      <c r="K64" s="2"/>
      <c r="L64" s="2">
        <f t="shared" si="58"/>
        <v>0</v>
      </c>
      <c r="M64" s="2"/>
      <c r="N64" s="19">
        <f t="shared" si="59"/>
        <v>0</v>
      </c>
      <c r="O64" s="11"/>
      <c r="P64" s="2">
        <f>--341.5</f>
        <v>341.5</v>
      </c>
      <c r="Q64" s="2"/>
      <c r="R64" s="19">
        <f t="shared" si="60"/>
        <v>0</v>
      </c>
      <c r="S64" s="2"/>
      <c r="T64" s="2">
        <f>--111.42</f>
        <v>111.42</v>
      </c>
      <c r="U64" s="2"/>
      <c r="V64" s="19">
        <f t="shared" si="61"/>
        <v>0</v>
      </c>
      <c r="W64" s="2"/>
      <c r="X64" s="2">
        <f t="shared" si="62"/>
        <v>230.07999999999998</v>
      </c>
      <c r="Y64" s="2"/>
      <c r="Z64" s="19">
        <f t="shared" si="63"/>
        <v>2.0649793573864654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5" t="s">
        <v>276</v>
      </c>
      <c r="C66" s="25"/>
      <c r="D66" s="21">
        <f>+D17-D19+D63</f>
        <v>-17879.699999999993</v>
      </c>
      <c r="E66" s="13"/>
      <c r="F66" s="22">
        <f>IF(D$12=0,0,D66/D$12)</f>
        <v>0</v>
      </c>
      <c r="G66" s="13"/>
      <c r="H66" s="21">
        <f>+H17-H19+H63</f>
        <v>-6745.17</v>
      </c>
      <c r="I66" s="13"/>
      <c r="J66" s="22">
        <f>IF(H$12=0,0,H66/H$12)</f>
        <v>0</v>
      </c>
      <c r="K66" s="15"/>
      <c r="L66" s="21">
        <f>+D66-H66</f>
        <v>-11134.529999999993</v>
      </c>
      <c r="M66" s="15"/>
      <c r="N66" s="22">
        <f>IF(H66=0,0,L66/H66)</f>
        <v>1.6507411970343213</v>
      </c>
      <c r="O66" s="26"/>
      <c r="P66" s="21">
        <f>+P17-P19+P63</f>
        <v>-121152.06999999998</v>
      </c>
      <c r="Q66" s="13"/>
      <c r="R66" s="22">
        <f>IF(P$12=0,0,P66/P$12)</f>
        <v>0</v>
      </c>
      <c r="S66" s="13"/>
      <c r="T66" s="21">
        <f>+T17-T19+T63</f>
        <v>-58915.400000000009</v>
      </c>
      <c r="U66" s="13"/>
      <c r="V66" s="22">
        <f>IF(T$12=0,0,T66/T$12)</f>
        <v>0</v>
      </c>
      <c r="W66" s="15"/>
      <c r="X66" s="21">
        <f>+P66-T66</f>
        <v>-62236.669999999969</v>
      </c>
      <c r="Y66" s="15"/>
      <c r="Z66" s="22">
        <f>IF(T66=0,0,X66/T66)</f>
        <v>1.0563735457961749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125</v>
      </c>
      <c r="C70" s="25"/>
      <c r="D70" s="36">
        <f>+D66-D68</f>
        <v>-17879.699999999993</v>
      </c>
      <c r="E70" s="13"/>
      <c r="F70" s="31">
        <f>IF(D$12=0,0,D70/D$12)</f>
        <v>0</v>
      </c>
      <c r="G70" s="13"/>
      <c r="H70" s="36">
        <f>+H66-H68</f>
        <v>-6745.17</v>
      </c>
      <c r="I70" s="13"/>
      <c r="J70" s="31">
        <f>IF(H$12=0,0,H70/H$12)</f>
        <v>0</v>
      </c>
      <c r="K70" s="15"/>
      <c r="L70" s="36">
        <f>D70-H70</f>
        <v>-11134.529999999993</v>
      </c>
      <c r="M70" s="15"/>
      <c r="N70" s="31">
        <f>IF(H70=0,0,L70/H70)</f>
        <v>1.6507411970343213</v>
      </c>
      <c r="O70" s="26"/>
      <c r="P70" s="36">
        <f>+P66-P68</f>
        <v>-121152.06999999998</v>
      </c>
      <c r="Q70" s="13"/>
      <c r="R70" s="31">
        <f>IF(P$12=0,0,P70/P$12)</f>
        <v>0</v>
      </c>
      <c r="S70" s="13"/>
      <c r="T70" s="36">
        <f>+T66-T68</f>
        <v>-58915.400000000009</v>
      </c>
      <c r="U70" s="13"/>
      <c r="V70" s="31">
        <f>IF(T$12=0,0,T70/T$12)</f>
        <v>0</v>
      </c>
      <c r="W70" s="15"/>
      <c r="X70" s="36">
        <f>P70-T70</f>
        <v>-62236.669999999969</v>
      </c>
      <c r="Y70" s="15"/>
      <c r="Z70" s="31">
        <f>IF(T70=0,0,X70/T70)</f>
        <v>1.0563735457961749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5" t="s">
        <v>293</v>
      </c>
      <c r="C73" s="25"/>
      <c r="D73" s="35">
        <f>SUM(D70:D72)</f>
        <v>-17879.699999999993</v>
      </c>
      <c r="E73" s="13"/>
      <c r="F73" s="32">
        <f>IF(D$12=0,0,D73/D$12)</f>
        <v>0</v>
      </c>
      <c r="G73" s="13"/>
      <c r="H73" s="35">
        <f>SUM(H70:H72)</f>
        <v>-6745.17</v>
      </c>
      <c r="I73" s="13"/>
      <c r="J73" s="32">
        <f>IF(H$12=0,0,H73/H$12)</f>
        <v>0</v>
      </c>
      <c r="K73" s="15"/>
      <c r="L73" s="35">
        <f>+D73-H73</f>
        <v>-11134.529999999993</v>
      </c>
      <c r="M73" s="15"/>
      <c r="N73" s="32">
        <f>IF(H73=0,0,L73/H73)</f>
        <v>1.6507411970343213</v>
      </c>
      <c r="O73" s="26"/>
      <c r="P73" s="35">
        <f>SUM(P70:P72)</f>
        <v>-121152.06999999998</v>
      </c>
      <c r="Q73" s="13"/>
      <c r="R73" s="32">
        <f>IF(P$12=0,0,P73/P$12)</f>
        <v>0</v>
      </c>
      <c r="S73" s="13"/>
      <c r="T73" s="35">
        <f>SUM(T70:T72)</f>
        <v>-58915.400000000009</v>
      </c>
      <c r="U73" s="13"/>
      <c r="V73" s="32">
        <f>IF(T$12=0,0,T73/T$12)</f>
        <v>0</v>
      </c>
      <c r="W73" s="15"/>
      <c r="X73" s="35">
        <f>+P73-T73</f>
        <v>-62236.669999999969</v>
      </c>
      <c r="Y73" s="15"/>
      <c r="Z73" s="32">
        <f>IF(T73=0,0,X73/T73)</f>
        <v>1.0563735457961749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4">
        <v>44604.028475694446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3" t="s">
        <v>56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5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","420", " - ", "Catering")</f>
        <v>Department 420 - Catering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82073.460000000006</v>
      </c>
      <c r="I12" s="4"/>
      <c r="J12" s="12"/>
      <c r="K12" s="4"/>
      <c r="L12" s="4">
        <f t="shared" ref="L12:L13" si="0">+D12-H12</f>
        <v>-82073.460000000006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230176.85</v>
      </c>
      <c r="U12" s="4"/>
      <c r="V12" s="12"/>
      <c r="W12" s="4"/>
      <c r="X12" s="4">
        <f t="shared" ref="X12:X13" si="2">+P12-T12</f>
        <v>-230176.85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0</f>
        <v>0</v>
      </c>
      <c r="E13" s="2"/>
      <c r="F13" s="19"/>
      <c r="G13" s="2"/>
      <c r="H13" s="2">
        <f>--82073.46</f>
        <v>82073.460000000006</v>
      </c>
      <c r="I13" s="2"/>
      <c r="J13" s="19"/>
      <c r="K13" s="2"/>
      <c r="L13" s="2">
        <f t="shared" si="0"/>
        <v>-82073.460000000006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--230176.85</f>
        <v>230176.85</v>
      </c>
      <c r="U13" s="2"/>
      <c r="V13" s="19"/>
      <c r="W13" s="2"/>
      <c r="X13" s="2">
        <f t="shared" si="2"/>
        <v>-230176.85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0</v>
      </c>
      <c r="E17" s="13"/>
      <c r="F17" s="22">
        <f>IF(D$12=0,0,D17/D$12)</f>
        <v>0</v>
      </c>
      <c r="G17" s="13"/>
      <c r="H17" s="21">
        <f>H12-H15</f>
        <v>82073.460000000006</v>
      </c>
      <c r="I17" s="13"/>
      <c r="J17" s="22">
        <f>IF(H$12=0,0,H17/H$12)</f>
        <v>1</v>
      </c>
      <c r="K17" s="15"/>
      <c r="L17" s="21">
        <f>+D17-H17</f>
        <v>-82073.460000000006</v>
      </c>
      <c r="M17" s="15"/>
      <c r="N17" s="22">
        <f>IF(H17=0,0,L17/H17)</f>
        <v>-1</v>
      </c>
      <c r="O17" s="26"/>
      <c r="P17" s="21">
        <f>P12-P15</f>
        <v>0</v>
      </c>
      <c r="Q17" s="13"/>
      <c r="R17" s="22">
        <f>IF(P$12=0,0,P17/P$12)</f>
        <v>0</v>
      </c>
      <c r="S17" s="13"/>
      <c r="T17" s="21">
        <f>T12-T15</f>
        <v>230176.85</v>
      </c>
      <c r="U17" s="13"/>
      <c r="V17" s="22">
        <f>IF(T$12=0,0,T17/T$12)</f>
        <v>1</v>
      </c>
      <c r="W17" s="15"/>
      <c r="X17" s="21">
        <f>+P17-T17</f>
        <v>-230176.85</v>
      </c>
      <c r="Y17" s="15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0</v>
      </c>
      <c r="E19" s="20"/>
      <c r="F19" s="30">
        <f t="shared" ref="F19:F21" si="4">IF(D$12=0,0,D19/D$12)</f>
        <v>0</v>
      </c>
      <c r="G19" s="20"/>
      <c r="H19" s="20">
        <f>SUM(OSRRefH22x_0)</f>
        <v>0</v>
      </c>
      <c r="I19" s="20"/>
      <c r="J19" s="30">
        <f t="shared" ref="J19:J21" si="5">IF(H$12=0,0,H19/H$12)</f>
        <v>0</v>
      </c>
      <c r="K19" s="4"/>
      <c r="L19" s="20">
        <f t="shared" ref="L19:L21" si="6">+D19-H19</f>
        <v>0</v>
      </c>
      <c r="M19" s="4"/>
      <c r="N19" s="30">
        <f t="shared" ref="N19:N21" si="7">IF(H19=0,0,L19/H19)</f>
        <v>0</v>
      </c>
      <c r="O19" s="10"/>
      <c r="P19" s="20">
        <f>SUM(OSRRefP22x_0)</f>
        <v>0</v>
      </c>
      <c r="Q19" s="20"/>
      <c r="R19" s="30">
        <f t="shared" ref="R19:R21" si="8">IF(P$12=0,0,P19/P$12)</f>
        <v>0</v>
      </c>
      <c r="S19" s="20"/>
      <c r="T19" s="20">
        <f>SUM(OSRRefT22x_0)</f>
        <v>7.86</v>
      </c>
      <c r="U19" s="20"/>
      <c r="V19" s="30">
        <f t="shared" ref="V19:V21" si="9">IF(T$12=0,0,T19/T$12)</f>
        <v>3.4147656465018091E-5</v>
      </c>
      <c r="W19" s="4"/>
      <c r="X19" s="20">
        <f t="shared" ref="X19:X21" si="10">+P19-T19</f>
        <v>-7.86</v>
      </c>
      <c r="Y19" s="4"/>
      <c r="Z19" s="30">
        <f t="shared" ref="Z19:Z21" si="11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7.86</v>
      </c>
      <c r="U20" s="1"/>
      <c r="V20" s="5">
        <f t="shared" si="9"/>
        <v>3.4147656465018091E-5</v>
      </c>
      <c r="W20" s="1"/>
      <c r="X20" s="1">
        <f t="shared" si="10"/>
        <v>-7.86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/>
      <c r="Q21" s="2"/>
      <c r="R21" s="6">
        <f t="shared" si="8"/>
        <v>0</v>
      </c>
      <c r="S21" s="2"/>
      <c r="T21" s="7">
        <v>7.86</v>
      </c>
      <c r="U21" s="2"/>
      <c r="V21" s="6">
        <f t="shared" si="9"/>
        <v>3.4147656465018091E-5</v>
      </c>
      <c r="W21" s="2"/>
      <c r="X21" s="7">
        <f t="shared" si="10"/>
        <v>-7.86</v>
      </c>
      <c r="Y21" s="2"/>
      <c r="Z21" s="6">
        <f t="shared" si="11"/>
        <v>-1</v>
      </c>
    </row>
    <row r="22" spans="1:26" s="52" customFormat="1" x14ac:dyDescent="0.3">
      <c r="A22" s="37"/>
      <c r="B22" s="37"/>
      <c r="C22" s="37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292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5" t="s">
        <v>276</v>
      </c>
      <c r="C25" s="25"/>
      <c r="D25" s="21">
        <f>+D17-D19+D23</f>
        <v>0</v>
      </c>
      <c r="E25" s="13"/>
      <c r="F25" s="22">
        <f>IF(D$12=0,0,D25/D$12)</f>
        <v>0</v>
      </c>
      <c r="G25" s="13"/>
      <c r="H25" s="21">
        <f>+H17-H19+H23</f>
        <v>82073.460000000006</v>
      </c>
      <c r="I25" s="13"/>
      <c r="J25" s="22">
        <f>IF(H$12=0,0,H25/H$12)</f>
        <v>1</v>
      </c>
      <c r="K25" s="15"/>
      <c r="L25" s="21">
        <f>+D25-H25</f>
        <v>-82073.460000000006</v>
      </c>
      <c r="M25" s="15"/>
      <c r="N25" s="22">
        <f>IF(H25=0,0,L25/H25)</f>
        <v>-1</v>
      </c>
      <c r="O25" s="26"/>
      <c r="P25" s="21">
        <f>+P17-P19+P23</f>
        <v>0</v>
      </c>
      <c r="Q25" s="13"/>
      <c r="R25" s="22">
        <f>IF(P$12=0,0,P25/P$12)</f>
        <v>0</v>
      </c>
      <c r="S25" s="13"/>
      <c r="T25" s="21">
        <f>+T17-T19+T23</f>
        <v>230168.99000000002</v>
      </c>
      <c r="U25" s="13"/>
      <c r="V25" s="22">
        <f>IF(T$12=0,0,T25/T$12)</f>
        <v>0.99996585234353508</v>
      </c>
      <c r="W25" s="15"/>
      <c r="X25" s="21">
        <f>+P25-T25</f>
        <v>-230168.99000000002</v>
      </c>
      <c r="Y25" s="15"/>
      <c r="Z25" s="22">
        <f>IF(T25=0,0,X25/T25)</f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1"/>
      <c r="B27" s="10" t="s">
        <v>127</v>
      </c>
      <c r="C27" s="10"/>
      <c r="D27" s="4"/>
      <c r="E27" s="4"/>
      <c r="F27" s="12">
        <f>IF(D$12=0,0,D27/D$12)</f>
        <v>0</v>
      </c>
      <c r="G27" s="4"/>
      <c r="H27" s="4">
        <v>14380.95</v>
      </c>
      <c r="I27" s="4"/>
      <c r="J27" s="12">
        <f>IF(H$12=0,0,H27/H$12)</f>
        <v>0.17522046712786327</v>
      </c>
      <c r="K27" s="4"/>
      <c r="L27" s="4">
        <f>+D27-H27</f>
        <v>-14380.95</v>
      </c>
      <c r="M27" s="4"/>
      <c r="N27" s="12">
        <f>IF(H27=0,0,L27/H27)</f>
        <v>-1</v>
      </c>
      <c r="O27" s="10"/>
      <c r="P27" s="4"/>
      <c r="Q27" s="4"/>
      <c r="R27" s="12">
        <f>IF(P$12=0,0,P27/P$12)</f>
        <v>0</v>
      </c>
      <c r="S27" s="4"/>
      <c r="T27" s="4">
        <v>41783.21</v>
      </c>
      <c r="U27" s="4"/>
      <c r="V27" s="12">
        <f>IF(T$12=0,0,T27/T$12)</f>
        <v>0.18152655230098075</v>
      </c>
      <c r="W27" s="4"/>
      <c r="X27" s="4">
        <f>+P27-T27</f>
        <v>-41783.21</v>
      </c>
      <c r="Y27" s="4"/>
      <c r="Z27" s="12">
        <f>IF(T27=0,0,X27/T27)</f>
        <v>-1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5" t="s">
        <v>125</v>
      </c>
      <c r="C29" s="25"/>
      <c r="D29" s="36">
        <f>+D25-D27</f>
        <v>0</v>
      </c>
      <c r="E29" s="13"/>
      <c r="F29" s="31">
        <f>IF(D$12=0,0,D29/D$12)</f>
        <v>0</v>
      </c>
      <c r="G29" s="13"/>
      <c r="H29" s="36">
        <f>+H25-H27</f>
        <v>67692.510000000009</v>
      </c>
      <c r="I29" s="13"/>
      <c r="J29" s="31">
        <f>IF(H$12=0,0,H29/H$12)</f>
        <v>0.82477953287213679</v>
      </c>
      <c r="K29" s="15"/>
      <c r="L29" s="36">
        <f>D29-H29</f>
        <v>-67692.510000000009</v>
      </c>
      <c r="M29" s="15"/>
      <c r="N29" s="31">
        <f>IF(H29=0,0,L29/H29)</f>
        <v>-1</v>
      </c>
      <c r="O29" s="26"/>
      <c r="P29" s="36">
        <f>+P25-P27</f>
        <v>0</v>
      </c>
      <c r="Q29" s="13"/>
      <c r="R29" s="31">
        <f>IF(P$12=0,0,P29/P$12)</f>
        <v>0</v>
      </c>
      <c r="S29" s="13"/>
      <c r="T29" s="36">
        <f>+T25-T27</f>
        <v>188385.78000000003</v>
      </c>
      <c r="U29" s="13"/>
      <c r="V29" s="31">
        <f>IF(T$12=0,0,T29/T$12)</f>
        <v>0.81843930004255439</v>
      </c>
      <c r="W29" s="15"/>
      <c r="X29" s="36">
        <f>P29-T29</f>
        <v>-188385.78000000003</v>
      </c>
      <c r="Y29" s="15"/>
      <c r="Z29" s="31">
        <f>IF(T29=0,0,X29/T29)</f>
        <v>-1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5" t="s">
        <v>293</v>
      </c>
      <c r="C32" s="25"/>
      <c r="D32" s="35">
        <f>SUM(D29:D31)</f>
        <v>0</v>
      </c>
      <c r="E32" s="13"/>
      <c r="F32" s="32">
        <f>IF(D$12=0,0,D32/D$12)</f>
        <v>0</v>
      </c>
      <c r="G32" s="13"/>
      <c r="H32" s="35">
        <f>SUM(H29:H31)</f>
        <v>67692.510000000009</v>
      </c>
      <c r="I32" s="13"/>
      <c r="J32" s="32">
        <f>IF(H$12=0,0,H32/H$12)</f>
        <v>0.82477953287213679</v>
      </c>
      <c r="K32" s="15"/>
      <c r="L32" s="35">
        <f>+D32-H32</f>
        <v>-67692.510000000009</v>
      </c>
      <c r="M32" s="15"/>
      <c r="N32" s="32">
        <f>IF(H32=0,0,L32/H32)</f>
        <v>-1</v>
      </c>
      <c r="O32" s="26"/>
      <c r="P32" s="35">
        <f>SUM(P29:P31)</f>
        <v>0</v>
      </c>
      <c r="Q32" s="13"/>
      <c r="R32" s="32">
        <f>IF(P$12=0,0,P32/P$12)</f>
        <v>0</v>
      </c>
      <c r="S32" s="13"/>
      <c r="T32" s="35">
        <f>SUM(T29:T31)</f>
        <v>188385.78000000003</v>
      </c>
      <c r="U32" s="13"/>
      <c r="V32" s="32">
        <f>IF(T$12=0,0,T32/T$12)</f>
        <v>0.81843930004255439</v>
      </c>
      <c r="W32" s="15"/>
      <c r="X32" s="35">
        <f>+P32-T32</f>
        <v>-188385.78000000003</v>
      </c>
      <c r="Y32" s="15"/>
      <c r="Z32" s="32">
        <f>IF(T32=0,0,X32/T32)</f>
        <v>-1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4">
        <v>44604.028475694446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3" t="s">
        <v>56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A36" s="9"/>
      <c r="B36" s="5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4" x14ac:dyDescent="0.3"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","423", " - ", "Contract/Vending Revenue")</f>
        <v>Department 423 - Contract/Vending Revenue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650.18000000000006</v>
      </c>
      <c r="E18" s="20"/>
      <c r="F18" s="30">
        <f t="shared" ref="F18:F21" si="0">IF(D$12=0,0,D18/D$12)</f>
        <v>0</v>
      </c>
      <c r="G18" s="20"/>
      <c r="H18" s="20">
        <f>SUM(OSRRefH22x_0)</f>
        <v>-77.740000000000009</v>
      </c>
      <c r="I18" s="20"/>
      <c r="J18" s="30">
        <f t="shared" ref="J18:J21" si="1">IF(H$12=0,0,H18/H$12)</f>
        <v>0</v>
      </c>
      <c r="K18" s="4"/>
      <c r="L18" s="20">
        <f t="shared" ref="L18:L21" si="2">+D18-H18</f>
        <v>727.92000000000007</v>
      </c>
      <c r="M18" s="4"/>
      <c r="N18" s="30">
        <f t="shared" ref="N18:N21" si="3">IF(H18=0,0,L18/H18)</f>
        <v>-9.363519423720092</v>
      </c>
      <c r="O18" s="10"/>
      <c r="P18" s="20">
        <f>SUM(OSRRefP22x_0)</f>
        <v>8774.23</v>
      </c>
      <c r="Q18" s="20"/>
      <c r="R18" s="30">
        <f t="shared" ref="R18:R21" si="4">IF(P$12=0,0,P18/P$12)</f>
        <v>0</v>
      </c>
      <c r="S18" s="20"/>
      <c r="T18" s="20">
        <f>SUM(OSRRefT22x_0)</f>
        <v>3055.19</v>
      </c>
      <c r="U18" s="20"/>
      <c r="V18" s="30">
        <f t="shared" ref="V18:V21" si="5">IF(T$12=0,0,T18/T$12)</f>
        <v>0</v>
      </c>
      <c r="W18" s="4"/>
      <c r="X18" s="20">
        <f t="shared" ref="X18:X21" si="6">+P18-T18</f>
        <v>5719.0399999999991</v>
      </c>
      <c r="Y18" s="4"/>
      <c r="Z18" s="30">
        <f t="shared" ref="Z18:Z21" si="7">IF(T18=0,0,X18/T18)</f>
        <v>1.8719097666593563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1868.2</v>
      </c>
      <c r="U20" s="2"/>
      <c r="V20" s="6">
        <f t="shared" si="5"/>
        <v>0</v>
      </c>
      <c r="W20" s="2"/>
      <c r="X20" s="7">
        <f t="shared" si="6"/>
        <v>-1868.2</v>
      </c>
      <c r="Y20" s="2"/>
      <c r="Z20" s="6">
        <f t="shared" si="7"/>
        <v>-1</v>
      </c>
    </row>
    <row r="21" spans="1:26" s="24" customFormat="1" hidden="1" outlineLevel="2" x14ac:dyDescent="0.3">
      <c r="A21" s="27"/>
      <c r="B21" s="11" t="str">
        <f>CONCATENATE("          ", "6115", " - ", "P.E.R.S.")</f>
        <v xml:space="preserve">          6115 - P.E.R.S.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610.53</v>
      </c>
      <c r="U21" s="2"/>
      <c r="V21" s="6">
        <f t="shared" si="5"/>
        <v>0</v>
      </c>
      <c r="W21" s="2"/>
      <c r="X21" s="7">
        <f t="shared" si="6"/>
        <v>-610.53</v>
      </c>
      <c r="Y21" s="2"/>
      <c r="Z21" s="6">
        <f t="shared" si="7"/>
        <v>-1</v>
      </c>
    </row>
    <row r="22" spans="1:26" s="29" customFormat="1" outlineLevel="1" collapsed="1" x14ac:dyDescent="0.3">
      <c r="A22" s="28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326.18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326.18</v>
      </c>
      <c r="M22" s="1"/>
      <c r="N22" s="5">
        <f t="shared" ref="N22:N27" si="11">IF(H22=0,0,L22/H22)</f>
        <v>0</v>
      </c>
      <c r="O22" s="14"/>
      <c r="P22" s="1">
        <f>SUM(OSRRefP22_1x_0)</f>
        <v>7816.11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7816.11</v>
      </c>
      <c r="Y22" s="1"/>
      <c r="Z22" s="5">
        <f t="shared" ref="Z22:Z27" si="15">IF(T22=0,0,X22/T22)</f>
        <v>0</v>
      </c>
    </row>
    <row r="23" spans="1:26" s="24" customFormat="1" hidden="1" outlineLevel="2" x14ac:dyDescent="0.3">
      <c r="A23" s="27"/>
      <c r="B23" s="11" t="str">
        <f>CONCATENATE("          ", "6279", " - ", "GENERAL EXPENSE")</f>
        <v xml:space="preserve">          6279 - GENERAL EXPENSE</v>
      </c>
      <c r="C23" s="11"/>
      <c r="D23" s="7">
        <v>326.18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326.18</v>
      </c>
      <c r="M23" s="2"/>
      <c r="N23" s="6">
        <f t="shared" si="11"/>
        <v>0</v>
      </c>
      <c r="O23" s="11"/>
      <c r="P23" s="7">
        <v>7816.11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7816.11</v>
      </c>
      <c r="Y23" s="2"/>
      <c r="Z23" s="6">
        <f t="shared" si="15"/>
        <v>0</v>
      </c>
    </row>
    <row r="24" spans="1:26" s="29" customFormat="1" outlineLevel="1" collapsed="1" x14ac:dyDescent="0.3">
      <c r="A24" s="28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28</v>
      </c>
      <c r="E24" s="1"/>
      <c r="F24" s="5">
        <f t="shared" si="8"/>
        <v>0</v>
      </c>
      <c r="G24" s="1"/>
      <c r="H24" s="1">
        <f>SUM(OSRRefH22_2x_0)</f>
        <v>36.26</v>
      </c>
      <c r="I24" s="1"/>
      <c r="J24" s="5">
        <f t="shared" si="9"/>
        <v>0</v>
      </c>
      <c r="K24" s="1"/>
      <c r="L24" s="1">
        <f t="shared" si="10"/>
        <v>-8.259999999999998</v>
      </c>
      <c r="M24" s="1"/>
      <c r="N24" s="5">
        <f t="shared" si="11"/>
        <v>-0.22779922779922776</v>
      </c>
      <c r="O24" s="14"/>
      <c r="P24" s="1">
        <f>SUM(OSRRefP22_2x_0)</f>
        <v>548.62</v>
      </c>
      <c r="Q24" s="1"/>
      <c r="R24" s="5">
        <f t="shared" si="12"/>
        <v>0</v>
      </c>
      <c r="S24" s="1"/>
      <c r="T24" s="1">
        <f>SUM(OSRRefT22_2x_0)</f>
        <v>-14.54</v>
      </c>
      <c r="U24" s="1"/>
      <c r="V24" s="5">
        <f t="shared" si="13"/>
        <v>0</v>
      </c>
      <c r="W24" s="1"/>
      <c r="X24" s="1">
        <f t="shared" si="14"/>
        <v>563.16</v>
      </c>
      <c r="Y24" s="1"/>
      <c r="Z24" s="5">
        <f t="shared" si="15"/>
        <v>-38.731774415405781</v>
      </c>
    </row>
    <row r="25" spans="1:26" s="24" customFormat="1" hidden="1" outlineLevel="2" x14ac:dyDescent="0.3">
      <c r="A25" s="27"/>
      <c r="B25" s="11" t="str">
        <f>CONCATENATE("          ", "6241", " - ", "OFFICE EXPENSE")</f>
        <v xml:space="preserve">          6241 - OFFICE EXPENSE</v>
      </c>
      <c r="C25" s="11"/>
      <c r="D25" s="7">
        <v>28</v>
      </c>
      <c r="E25" s="2"/>
      <c r="F25" s="6">
        <f t="shared" si="8"/>
        <v>0</v>
      </c>
      <c r="G25" s="2"/>
      <c r="H25" s="7">
        <v>36.26</v>
      </c>
      <c r="I25" s="2"/>
      <c r="J25" s="6">
        <f t="shared" si="9"/>
        <v>0</v>
      </c>
      <c r="K25" s="2"/>
      <c r="L25" s="7">
        <f t="shared" si="10"/>
        <v>-8.259999999999998</v>
      </c>
      <c r="M25" s="2"/>
      <c r="N25" s="6">
        <f t="shared" si="11"/>
        <v>-0.22779922779922776</v>
      </c>
      <c r="O25" s="11"/>
      <c r="P25" s="7">
        <v>548.62</v>
      </c>
      <c r="Q25" s="2"/>
      <c r="R25" s="6">
        <f t="shared" si="12"/>
        <v>0</v>
      </c>
      <c r="S25" s="2"/>
      <c r="T25" s="7">
        <v>-14.54</v>
      </c>
      <c r="U25" s="2"/>
      <c r="V25" s="6">
        <f t="shared" si="13"/>
        <v>0</v>
      </c>
      <c r="W25" s="2"/>
      <c r="X25" s="7">
        <f t="shared" si="14"/>
        <v>563.16</v>
      </c>
      <c r="Y25" s="2"/>
      <c r="Z25" s="6">
        <f t="shared" si="15"/>
        <v>-38.731774415405781</v>
      </c>
    </row>
    <row r="26" spans="1:26" s="29" customFormat="1" outlineLevel="1" collapsed="1" x14ac:dyDescent="0.3">
      <c r="A26" s="28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296</v>
      </c>
      <c r="E26" s="1"/>
      <c r="F26" s="5">
        <f t="shared" si="8"/>
        <v>0</v>
      </c>
      <c r="G26" s="1"/>
      <c r="H26" s="1">
        <f>SUM(OSRRefH22_3x_0)</f>
        <v>-114</v>
      </c>
      <c r="I26" s="1"/>
      <c r="J26" s="5">
        <f t="shared" si="9"/>
        <v>0</v>
      </c>
      <c r="K26" s="1"/>
      <c r="L26" s="1">
        <f t="shared" si="10"/>
        <v>410</v>
      </c>
      <c r="M26" s="1"/>
      <c r="N26" s="5">
        <f t="shared" si="11"/>
        <v>-3.5964912280701755</v>
      </c>
      <c r="O26" s="14"/>
      <c r="P26" s="1">
        <f>SUM(OSRRefP22_3x_0)</f>
        <v>409.5</v>
      </c>
      <c r="Q26" s="1"/>
      <c r="R26" s="5">
        <f t="shared" si="12"/>
        <v>0</v>
      </c>
      <c r="S26" s="1"/>
      <c r="T26" s="1">
        <f>SUM(OSRRefT22_3x_0)</f>
        <v>591</v>
      </c>
      <c r="U26" s="1"/>
      <c r="V26" s="5">
        <f t="shared" si="13"/>
        <v>0</v>
      </c>
      <c r="W26" s="1"/>
      <c r="X26" s="1">
        <f t="shared" si="14"/>
        <v>-181.5</v>
      </c>
      <c r="Y26" s="1"/>
      <c r="Z26" s="5">
        <f t="shared" si="15"/>
        <v>-0.30710659898477155</v>
      </c>
    </row>
    <row r="27" spans="1:26" s="24" customFormat="1" hidden="1" outlineLevel="2" x14ac:dyDescent="0.3">
      <c r="A27" s="27"/>
      <c r="B27" s="11" t="str">
        <f>CONCATENATE("          ", "6309", " - ", "TELEPHONE")</f>
        <v xml:space="preserve">          6309 - TELEPHONE</v>
      </c>
      <c r="C27" s="11"/>
      <c r="D27" s="7">
        <v>296</v>
      </c>
      <c r="E27" s="2"/>
      <c r="F27" s="6">
        <f t="shared" si="8"/>
        <v>0</v>
      </c>
      <c r="G27" s="2"/>
      <c r="H27" s="7">
        <v>-114</v>
      </c>
      <c r="I27" s="2"/>
      <c r="J27" s="6">
        <f t="shared" si="9"/>
        <v>0</v>
      </c>
      <c r="K27" s="2"/>
      <c r="L27" s="7">
        <f t="shared" si="10"/>
        <v>410</v>
      </c>
      <c r="M27" s="2"/>
      <c r="N27" s="6">
        <f t="shared" si="11"/>
        <v>-3.5964912280701755</v>
      </c>
      <c r="O27" s="11"/>
      <c r="P27" s="7">
        <v>409.5</v>
      </c>
      <c r="Q27" s="2"/>
      <c r="R27" s="6">
        <f t="shared" si="12"/>
        <v>0</v>
      </c>
      <c r="S27" s="2"/>
      <c r="T27" s="7">
        <v>591</v>
      </c>
      <c r="U27" s="2"/>
      <c r="V27" s="6">
        <f t="shared" si="13"/>
        <v>0</v>
      </c>
      <c r="W27" s="2"/>
      <c r="X27" s="7">
        <f t="shared" si="14"/>
        <v>-181.5</v>
      </c>
      <c r="Y27" s="2"/>
      <c r="Z27" s="6">
        <f t="shared" si="15"/>
        <v>-0.30710659898477155</v>
      </c>
    </row>
    <row r="28" spans="1:26" s="52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3">
      <c r="A29" s="10"/>
      <c r="B29" s="26" t="s">
        <v>292</v>
      </c>
      <c r="C29" s="10"/>
      <c r="D29" s="4">
        <f>SUM(OSRRefD25x_0)</f>
        <v>6236.07</v>
      </c>
      <c r="E29" s="4"/>
      <c r="F29" s="12">
        <f t="shared" ref="F29:F30" si="16">IF(D$12=0,0,D29/D$12)</f>
        <v>0</v>
      </c>
      <c r="G29" s="4"/>
      <c r="H29" s="4">
        <f>SUM(OSRRefH25x_0)</f>
        <v>0</v>
      </c>
      <c r="I29" s="4"/>
      <c r="J29" s="12">
        <f t="shared" ref="J29:J30" si="17">IF(H$12=0,0,H29/H$12)</f>
        <v>0</v>
      </c>
      <c r="K29" s="4"/>
      <c r="L29" s="4">
        <f t="shared" ref="L29:L30" si="18">+D29-H29</f>
        <v>6236.07</v>
      </c>
      <c r="M29" s="4"/>
      <c r="N29" s="12">
        <f t="shared" ref="N29:N30" si="19">IF(H29=0,0,L29/H29)</f>
        <v>0</v>
      </c>
      <c r="O29" s="10"/>
      <c r="P29" s="4">
        <f>SUM(OSRRefP25x_0)</f>
        <v>126028.85</v>
      </c>
      <c r="Q29" s="4"/>
      <c r="R29" s="12">
        <f t="shared" ref="R29:R30" si="20">IF(P$12=0,0,P29/P$12)</f>
        <v>0</v>
      </c>
      <c r="S29" s="4"/>
      <c r="T29" s="4">
        <f>SUM(OSRRefT25x_0)</f>
        <v>0</v>
      </c>
      <c r="U29" s="4"/>
      <c r="V29" s="12">
        <f t="shared" ref="V29:V30" si="21">IF(T$12=0,0,T29/T$12)</f>
        <v>0</v>
      </c>
      <c r="W29" s="4"/>
      <c r="X29" s="4">
        <f t="shared" ref="X29:X30" si="22">+P29-T29</f>
        <v>126028.85</v>
      </c>
      <c r="Y29" s="4"/>
      <c r="Z29" s="12">
        <f t="shared" ref="Z29:Z30" si="23">IF(T29=0,0,X29/T29)</f>
        <v>0</v>
      </c>
    </row>
    <row r="30" spans="1:26" s="24" customFormat="1" hidden="1" outlineLevel="1" x14ac:dyDescent="0.3">
      <c r="A30" s="44"/>
      <c r="B30" s="11" t="str">
        <f>CONCATENATE("          ", "9150", " - ", "MISC. INCOME")</f>
        <v xml:space="preserve">          9150 - MISC. INCOME</v>
      </c>
      <c r="C30" s="11"/>
      <c r="D30" s="2">
        <f>--6236.07</f>
        <v>6236.07</v>
      </c>
      <c r="E30" s="2"/>
      <c r="F30" s="19">
        <f t="shared" si="16"/>
        <v>0</v>
      </c>
      <c r="G30" s="2"/>
      <c r="H30" s="2">
        <f>0</f>
        <v>0</v>
      </c>
      <c r="I30" s="2"/>
      <c r="J30" s="19">
        <f t="shared" si="17"/>
        <v>0</v>
      </c>
      <c r="K30" s="2"/>
      <c r="L30" s="2">
        <f t="shared" si="18"/>
        <v>6236.07</v>
      </c>
      <c r="M30" s="2"/>
      <c r="N30" s="19">
        <f t="shared" si="19"/>
        <v>0</v>
      </c>
      <c r="O30" s="11"/>
      <c r="P30" s="2">
        <f>--126028.85</f>
        <v>126028.85</v>
      </c>
      <c r="Q30" s="2"/>
      <c r="R30" s="19">
        <f t="shared" si="20"/>
        <v>0</v>
      </c>
      <c r="S30" s="2"/>
      <c r="T30" s="2">
        <f>0</f>
        <v>0</v>
      </c>
      <c r="U30" s="2"/>
      <c r="V30" s="19">
        <f t="shared" si="21"/>
        <v>0</v>
      </c>
      <c r="W30" s="2"/>
      <c r="X30" s="2">
        <f t="shared" si="22"/>
        <v>126028.85</v>
      </c>
      <c r="Y30" s="2"/>
      <c r="Z30" s="19">
        <f t="shared" si="23"/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5" t="s">
        <v>276</v>
      </c>
      <c r="C32" s="25"/>
      <c r="D32" s="21">
        <f>+D16-D18+D29</f>
        <v>5585.8899999999994</v>
      </c>
      <c r="E32" s="13"/>
      <c r="F32" s="22">
        <f>IF(D$12=0,0,D32/D$12)</f>
        <v>0</v>
      </c>
      <c r="G32" s="13"/>
      <c r="H32" s="21">
        <f>+H16-H18+H29</f>
        <v>77.740000000000009</v>
      </c>
      <c r="I32" s="13"/>
      <c r="J32" s="22">
        <f>IF(H$12=0,0,H32/H$12)</f>
        <v>0</v>
      </c>
      <c r="K32" s="15"/>
      <c r="L32" s="21">
        <f>+D32-H32</f>
        <v>5508.15</v>
      </c>
      <c r="M32" s="15"/>
      <c r="N32" s="22">
        <f>IF(H32=0,0,L32/H32)</f>
        <v>70.853485978904033</v>
      </c>
      <c r="O32" s="26"/>
      <c r="P32" s="21">
        <f>+P16-P18+P29</f>
        <v>117254.62000000001</v>
      </c>
      <c r="Q32" s="13"/>
      <c r="R32" s="22">
        <f>IF(P$12=0,0,P32/P$12)</f>
        <v>0</v>
      </c>
      <c r="S32" s="13"/>
      <c r="T32" s="21">
        <f>+T16-T18+T29</f>
        <v>-3055.19</v>
      </c>
      <c r="U32" s="13"/>
      <c r="V32" s="22">
        <f>IF(T$12=0,0,T32/T$12)</f>
        <v>0</v>
      </c>
      <c r="W32" s="15"/>
      <c r="X32" s="21">
        <f>+P32-T32</f>
        <v>120309.81000000001</v>
      </c>
      <c r="Y32" s="15"/>
      <c r="Z32" s="22">
        <f>IF(T32=0,0,X32/T32)</f>
        <v>-39.37883077648199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125</v>
      </c>
      <c r="C36" s="25"/>
      <c r="D36" s="36">
        <f>+D32-D34</f>
        <v>5585.8899999999994</v>
      </c>
      <c r="E36" s="13"/>
      <c r="F36" s="31">
        <f>IF(D$12=0,0,D36/D$12)</f>
        <v>0</v>
      </c>
      <c r="G36" s="13"/>
      <c r="H36" s="36">
        <f>+H32-H34</f>
        <v>77.740000000000009</v>
      </c>
      <c r="I36" s="13"/>
      <c r="J36" s="31">
        <f>IF(H$12=0,0,H36/H$12)</f>
        <v>0</v>
      </c>
      <c r="K36" s="15"/>
      <c r="L36" s="36">
        <f>D36-H36</f>
        <v>5508.15</v>
      </c>
      <c r="M36" s="15"/>
      <c r="N36" s="31">
        <f>IF(H36=0,0,L36/H36)</f>
        <v>70.853485978904033</v>
      </c>
      <c r="O36" s="26"/>
      <c r="P36" s="36">
        <f>+P32-P34</f>
        <v>117254.62000000001</v>
      </c>
      <c r="Q36" s="13"/>
      <c r="R36" s="31">
        <f>IF(P$12=0,0,P36/P$12)</f>
        <v>0</v>
      </c>
      <c r="S36" s="13"/>
      <c r="T36" s="36">
        <f>+T32-T34</f>
        <v>-3055.19</v>
      </c>
      <c r="U36" s="13"/>
      <c r="V36" s="31">
        <f>IF(T$12=0,0,T36/T$12)</f>
        <v>0</v>
      </c>
      <c r="W36" s="15"/>
      <c r="X36" s="36">
        <f>P36-T36</f>
        <v>120309.81000000001</v>
      </c>
      <c r="Y36" s="15"/>
      <c r="Z36" s="31">
        <f>IF(T36=0,0,X36/T36)</f>
        <v>-39.37883077648199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5" t="s">
        <v>293</v>
      </c>
      <c r="C39" s="25"/>
      <c r="D39" s="35">
        <f>SUM(D36:D38)</f>
        <v>5585.8899999999994</v>
      </c>
      <c r="E39" s="13"/>
      <c r="F39" s="32">
        <f>IF(D$12=0,0,D39/D$12)</f>
        <v>0</v>
      </c>
      <c r="G39" s="13"/>
      <c r="H39" s="35">
        <f>SUM(H36:H38)</f>
        <v>77.740000000000009</v>
      </c>
      <c r="I39" s="13"/>
      <c r="J39" s="32">
        <f>IF(H$12=0,0,H39/H$12)</f>
        <v>0</v>
      </c>
      <c r="K39" s="15"/>
      <c r="L39" s="35">
        <f>+D39-H39</f>
        <v>5508.15</v>
      </c>
      <c r="M39" s="15"/>
      <c r="N39" s="32">
        <f>IF(H39=0,0,L39/H39)</f>
        <v>70.853485978904033</v>
      </c>
      <c r="O39" s="26"/>
      <c r="P39" s="35">
        <f>SUM(P36:P38)</f>
        <v>117254.62000000001</v>
      </c>
      <c r="Q39" s="13"/>
      <c r="R39" s="32">
        <f>IF(P$12=0,0,P39/P$12)</f>
        <v>0</v>
      </c>
      <c r="S39" s="13"/>
      <c r="T39" s="35">
        <f>SUM(T36:T38)</f>
        <v>-3055.19</v>
      </c>
      <c r="U39" s="13"/>
      <c r="V39" s="32">
        <f>IF(T$12=0,0,T39/T$12)</f>
        <v>0</v>
      </c>
      <c r="W39" s="15"/>
      <c r="X39" s="35">
        <f>+P39-T39</f>
        <v>120309.81000000001</v>
      </c>
      <c r="Y39" s="15"/>
      <c r="Z39" s="32">
        <f>IF(T39=0,0,X39/T39)</f>
        <v>-39.37883077648199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4">
        <v>44604.028475694446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3" t="s">
        <v>56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9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","424", " - ", "Blair Field")</f>
        <v>Department 424 - Blair Field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479.29</v>
      </c>
      <c r="E18" s="20"/>
      <c r="F18" s="30">
        <f t="shared" ref="F18:F26" si="0">IF(D$12=0,0,D18/D$12)</f>
        <v>0</v>
      </c>
      <c r="G18" s="20"/>
      <c r="H18" s="20">
        <f>SUM(OSRRefH22x_0)</f>
        <v>479.29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0</v>
      </c>
      <c r="M18" s="4"/>
      <c r="N18" s="30">
        <f t="shared" ref="N18:N26" si="3">IF(H18=0,0,L18/H18)</f>
        <v>0</v>
      </c>
      <c r="O18" s="10"/>
      <c r="P18" s="20">
        <f>SUM(OSRRefP22x_0)</f>
        <v>3359.03</v>
      </c>
      <c r="Q18" s="20"/>
      <c r="R18" s="30">
        <f t="shared" ref="R18:R26" si="4">IF(P$12=0,0,P18/P$12)</f>
        <v>0</v>
      </c>
      <c r="S18" s="20"/>
      <c r="T18" s="20">
        <f>SUM(OSRRefT22x_0)</f>
        <v>4259.88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-900.84999999999991</v>
      </c>
      <c r="Y18" s="4"/>
      <c r="Z18" s="30">
        <f t="shared" ref="Z18:Z26" si="7">IF(T18=0,0,X18/T18)</f>
        <v>-0.21147309313877383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3355.03</v>
      </c>
      <c r="Q19" s="1"/>
      <c r="R19" s="5">
        <f t="shared" si="4"/>
        <v>0</v>
      </c>
      <c r="S19" s="1"/>
      <c r="T19" s="1">
        <f>SUM(OSRRefT22_0x_0)</f>
        <v>3355.03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479.29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3355.03</v>
      </c>
      <c r="Q20" s="2"/>
      <c r="R20" s="6">
        <f t="shared" si="4"/>
        <v>0</v>
      </c>
      <c r="S20" s="2"/>
      <c r="T20" s="7">
        <v>3355.03</v>
      </c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29" customFormat="1" outlineLevel="1" collapsed="1" x14ac:dyDescent="0.3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4</v>
      </c>
      <c r="Q21" s="1"/>
      <c r="R21" s="5">
        <f t="shared" si="4"/>
        <v>0</v>
      </c>
      <c r="S21" s="1"/>
      <c r="T21" s="1">
        <f>SUM(OSRRefT22_1x_0)</f>
        <v>523.54999999999995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-0.99235985101709479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4</v>
      </c>
      <c r="Q22" s="2"/>
      <c r="R22" s="6">
        <f t="shared" si="4"/>
        <v>0</v>
      </c>
      <c r="S22" s="2"/>
      <c r="T22" s="7">
        <v>523.54999999999995</v>
      </c>
      <c r="U22" s="2"/>
      <c r="V22" s="6">
        <f t="shared" si="5"/>
        <v>0</v>
      </c>
      <c r="W22" s="2"/>
      <c r="X22" s="7">
        <f t="shared" si="6"/>
        <v>-519.54999999999995</v>
      </c>
      <c r="Y22" s="2"/>
      <c r="Z22" s="6">
        <f t="shared" si="7"/>
        <v>-0.99235985101709479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154.33000000000001</v>
      </c>
      <c r="U23" s="1"/>
      <c r="V23" s="5">
        <f t="shared" si="5"/>
        <v>0</v>
      </c>
      <c r="W23" s="1"/>
      <c r="X23" s="1">
        <f t="shared" si="6"/>
        <v>-154.33000000000001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154.33000000000001</v>
      </c>
      <c r="U24" s="2"/>
      <c r="V24" s="6">
        <f t="shared" si="5"/>
        <v>0</v>
      </c>
      <c r="W24" s="2"/>
      <c r="X24" s="7">
        <f t="shared" si="6"/>
        <v>-154.33000000000001</v>
      </c>
      <c r="Y24" s="2"/>
      <c r="Z24" s="6">
        <f t="shared" si="7"/>
        <v>-1</v>
      </c>
    </row>
    <row r="25" spans="1:26" s="29" customFormat="1" outlineLevel="1" collapsed="1" x14ac:dyDescent="0.3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226.97</v>
      </c>
      <c r="U25" s="1"/>
      <c r="V25" s="5">
        <f t="shared" si="5"/>
        <v>0</v>
      </c>
      <c r="W25" s="1"/>
      <c r="X25" s="1">
        <f t="shared" si="6"/>
        <v>-226.97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226.97</v>
      </c>
      <c r="U26" s="2"/>
      <c r="V26" s="6">
        <f t="shared" si="5"/>
        <v>0</v>
      </c>
      <c r="W26" s="2"/>
      <c r="X26" s="7">
        <f t="shared" si="6"/>
        <v>-226.97</v>
      </c>
      <c r="Y26" s="2"/>
      <c r="Z26" s="6">
        <f t="shared" si="7"/>
        <v>-1</v>
      </c>
    </row>
    <row r="27" spans="1:26" s="52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276</v>
      </c>
      <c r="C30" s="25"/>
      <c r="D30" s="21">
        <f>+D16-D18+D28</f>
        <v>-479.29</v>
      </c>
      <c r="E30" s="13"/>
      <c r="F30" s="22">
        <f>IF(D$12=0,0,D30/D$12)</f>
        <v>0</v>
      </c>
      <c r="G30" s="13"/>
      <c r="H30" s="21">
        <f>+H16-H18+H28</f>
        <v>-479.29</v>
      </c>
      <c r="I30" s="13"/>
      <c r="J30" s="22">
        <f>IF(H$12=0,0,H30/H$12)</f>
        <v>0</v>
      </c>
      <c r="K30" s="15"/>
      <c r="L30" s="21">
        <f>+D30-H30</f>
        <v>0</v>
      </c>
      <c r="M30" s="15"/>
      <c r="N30" s="22">
        <f>IF(H30=0,0,L30/H30)</f>
        <v>0</v>
      </c>
      <c r="O30" s="26"/>
      <c r="P30" s="21">
        <f>+P16-P18+P28</f>
        <v>-3359.03</v>
      </c>
      <c r="Q30" s="13"/>
      <c r="R30" s="22">
        <f>IF(P$12=0,0,P30/P$12)</f>
        <v>0</v>
      </c>
      <c r="S30" s="13"/>
      <c r="T30" s="21">
        <f>+T16-T18+T28</f>
        <v>-4259.88</v>
      </c>
      <c r="U30" s="13"/>
      <c r="V30" s="22">
        <f>IF(T$12=0,0,T30/T$12)</f>
        <v>0</v>
      </c>
      <c r="W30" s="15"/>
      <c r="X30" s="21">
        <f>+P30-T30</f>
        <v>900.84999999999991</v>
      </c>
      <c r="Y30" s="15"/>
      <c r="Z30" s="22">
        <f>IF(T30=0,0,X30/T30)</f>
        <v>-0.21147309313877383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5" t="s">
        <v>125</v>
      </c>
      <c r="C34" s="25"/>
      <c r="D34" s="36">
        <f>+D30-D32</f>
        <v>-479.29</v>
      </c>
      <c r="E34" s="13"/>
      <c r="F34" s="31">
        <f>IF(D$12=0,0,D34/D$12)</f>
        <v>0</v>
      </c>
      <c r="G34" s="13"/>
      <c r="H34" s="36">
        <f>+H30-H32</f>
        <v>-479.29</v>
      </c>
      <c r="I34" s="13"/>
      <c r="J34" s="31">
        <f>IF(H$12=0,0,H34/H$12)</f>
        <v>0</v>
      </c>
      <c r="K34" s="15"/>
      <c r="L34" s="36">
        <f>D34-H34</f>
        <v>0</v>
      </c>
      <c r="M34" s="15"/>
      <c r="N34" s="31">
        <f>IF(H34=0,0,L34/H34)</f>
        <v>0</v>
      </c>
      <c r="O34" s="26"/>
      <c r="P34" s="36">
        <f>+P30-P32</f>
        <v>-3359.03</v>
      </c>
      <c r="Q34" s="13"/>
      <c r="R34" s="31">
        <f>IF(P$12=0,0,P34/P$12)</f>
        <v>0</v>
      </c>
      <c r="S34" s="13"/>
      <c r="T34" s="36">
        <f>+T30-T32</f>
        <v>-4259.88</v>
      </c>
      <c r="U34" s="13"/>
      <c r="V34" s="31">
        <f>IF(T$12=0,0,T34/T$12)</f>
        <v>0</v>
      </c>
      <c r="W34" s="15"/>
      <c r="X34" s="36">
        <f>P34-T34</f>
        <v>900.84999999999991</v>
      </c>
      <c r="Y34" s="15"/>
      <c r="Z34" s="31">
        <f>IF(T34=0,0,X34/T34)</f>
        <v>-0.21147309313877383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293</v>
      </c>
      <c r="C37" s="25"/>
      <c r="D37" s="35">
        <f>SUM(D34:D36)</f>
        <v>-479.29</v>
      </c>
      <c r="E37" s="13"/>
      <c r="F37" s="32">
        <f>IF(D$12=0,0,D37/D$12)</f>
        <v>0</v>
      </c>
      <c r="G37" s="13"/>
      <c r="H37" s="35">
        <f>SUM(H34:H36)</f>
        <v>-479.29</v>
      </c>
      <c r="I37" s="13"/>
      <c r="J37" s="32">
        <f>IF(H$12=0,0,H37/H$12)</f>
        <v>0</v>
      </c>
      <c r="K37" s="15"/>
      <c r="L37" s="35">
        <f>+D37-H37</f>
        <v>0</v>
      </c>
      <c r="M37" s="15"/>
      <c r="N37" s="32">
        <f>IF(H37=0,0,L37/H37)</f>
        <v>0</v>
      </c>
      <c r="O37" s="26"/>
      <c r="P37" s="35">
        <f>SUM(P34:P36)</f>
        <v>-3359.03</v>
      </c>
      <c r="Q37" s="13"/>
      <c r="R37" s="32">
        <f>IF(P$12=0,0,P37/P$12)</f>
        <v>0</v>
      </c>
      <c r="S37" s="13"/>
      <c r="T37" s="35">
        <f>SUM(T34:T36)</f>
        <v>-4259.88</v>
      </c>
      <c r="U37" s="13"/>
      <c r="V37" s="32">
        <f>IF(T$12=0,0,T37/T$12)</f>
        <v>0</v>
      </c>
      <c r="W37" s="15"/>
      <c r="X37" s="35">
        <f>+P37-T37</f>
        <v>900.84999999999991</v>
      </c>
      <c r="Y37" s="15"/>
      <c r="Z37" s="32">
        <f>IF(T37=0,0,X37/T37)</f>
        <v>-0.21147309313877383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4">
        <v>44604.028475694446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3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","425", " - ", "Events Center")</f>
        <v>Department 425 - Events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1412.89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1412.89</v>
      </c>
      <c r="M12" s="4"/>
      <c r="N12" s="12">
        <f t="shared" ref="N12:N13" si="1">IF(H12=0,0,L12/H12)</f>
        <v>0</v>
      </c>
      <c r="O12" s="10"/>
      <c r="P12" s="4">
        <f>SUM(OSRRefP13x_0)</f>
        <v>8792.4699999999993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8792.4699999999993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--1412.89</f>
        <v>1412.89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1412.89</v>
      </c>
      <c r="M13" s="2"/>
      <c r="N13" s="19">
        <f t="shared" si="1"/>
        <v>0</v>
      </c>
      <c r="O13" s="11"/>
      <c r="P13" s="2">
        <f>--8792.47</f>
        <v>8792.4699999999993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8792.4699999999993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7039.77</v>
      </c>
      <c r="Q15" s="4"/>
      <c r="R15" s="12">
        <f t="shared" ref="R15:R16" si="8">IF(P$12=0,0,P15/P$12)</f>
        <v>0.80065897296209154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7039.77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>
        <v>7039.77</v>
      </c>
      <c r="Q16" s="2"/>
      <c r="R16" s="19">
        <f t="shared" si="8"/>
        <v>0.80065897296209154</v>
      </c>
      <c r="S16" s="2"/>
      <c r="T16" s="2"/>
      <c r="U16" s="2"/>
      <c r="V16" s="19">
        <f t="shared" si="9"/>
        <v>0</v>
      </c>
      <c r="W16" s="2"/>
      <c r="X16" s="2">
        <f t="shared" si="10"/>
        <v>7039.77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>
        <f>D12-D15</f>
        <v>1412.89</v>
      </c>
      <c r="E18" s="13"/>
      <c r="F18" s="22">
        <f>IF(D$12=0,0,D18/D$12)</f>
        <v>1</v>
      </c>
      <c r="G18" s="13"/>
      <c r="H18" s="21">
        <f>H12-H15</f>
        <v>0</v>
      </c>
      <c r="I18" s="13"/>
      <c r="J18" s="22">
        <f>IF(H$12=0,0,H18/H$12)</f>
        <v>0</v>
      </c>
      <c r="K18" s="15"/>
      <c r="L18" s="21">
        <f>+D18-H18</f>
        <v>1412.89</v>
      </c>
      <c r="M18" s="15"/>
      <c r="N18" s="22">
        <f>IF(H18=0,0,L18/H18)</f>
        <v>0</v>
      </c>
      <c r="O18" s="26"/>
      <c r="P18" s="21">
        <f>P12-P15</f>
        <v>1752.6999999999989</v>
      </c>
      <c r="Q18" s="13"/>
      <c r="R18" s="22">
        <f>IF(P$12=0,0,P18/P$12)</f>
        <v>0.19934102703790846</v>
      </c>
      <c r="S18" s="13"/>
      <c r="T18" s="21">
        <f>T12-T15</f>
        <v>0</v>
      </c>
      <c r="U18" s="13"/>
      <c r="V18" s="22">
        <f>IF(T$12=0,0,T18/T$12)</f>
        <v>0</v>
      </c>
      <c r="W18" s="15"/>
      <c r="X18" s="21">
        <f>+P18-T18</f>
        <v>1752.6999999999989</v>
      </c>
      <c r="Y18" s="15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>
        <f>SUM(OSRRefD22x_0)</f>
        <v>1934.57</v>
      </c>
      <c r="E20" s="20"/>
      <c r="F20" s="30">
        <f t="shared" ref="F20:F26" si="12">IF(D$12=0,0,D20/D$12)</f>
        <v>1.3692290270297049</v>
      </c>
      <c r="G20" s="20"/>
      <c r="H20" s="20">
        <f>SUM(OSRRefH22x_0)</f>
        <v>1000.91</v>
      </c>
      <c r="I20" s="20"/>
      <c r="J20" s="30">
        <f t="shared" ref="J20:J26" si="13">IF(H$12=0,0,H20/H$12)</f>
        <v>0</v>
      </c>
      <c r="K20" s="4"/>
      <c r="L20" s="20">
        <f t="shared" ref="L20:L26" si="14">+D20-H20</f>
        <v>933.66</v>
      </c>
      <c r="M20" s="4"/>
      <c r="N20" s="30">
        <f t="shared" ref="N20:N26" si="15">IF(H20=0,0,L20/H20)</f>
        <v>0.93281114186090652</v>
      </c>
      <c r="O20" s="10"/>
      <c r="P20" s="20">
        <f>SUM(OSRRefP22x_0)</f>
        <v>12489.609999999999</v>
      </c>
      <c r="Q20" s="20"/>
      <c r="R20" s="30">
        <f t="shared" ref="R20:R26" si="16">IF(P$12=0,0,P20/P$12)</f>
        <v>1.4204893505465472</v>
      </c>
      <c r="S20" s="20"/>
      <c r="T20" s="20">
        <f>SUM(OSRRefT22x_0)</f>
        <v>10635.05</v>
      </c>
      <c r="U20" s="20"/>
      <c r="V20" s="30">
        <f t="shared" ref="V20:V26" si="17">IF(T$12=0,0,T20/T$12)</f>
        <v>0</v>
      </c>
      <c r="W20" s="4"/>
      <c r="X20" s="20">
        <f t="shared" ref="X20:X26" si="18">+P20-T20</f>
        <v>1854.5599999999995</v>
      </c>
      <c r="Y20" s="4"/>
      <c r="Z20" s="30">
        <f t="shared" ref="Z20:Z26" si="19">IF(T20=0,0,X20/T20)</f>
        <v>0.17438187878759381</v>
      </c>
    </row>
    <row r="21" spans="1:26" s="29" customFormat="1" outlineLevel="1" collapsed="1" x14ac:dyDescent="0.3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1420.5</v>
      </c>
      <c r="U21" s="1"/>
      <c r="V21" s="5">
        <f t="shared" si="17"/>
        <v>0</v>
      </c>
      <c r="W21" s="1"/>
      <c r="X21" s="1">
        <f t="shared" si="18"/>
        <v>-1420.5</v>
      </c>
      <c r="Y21" s="1"/>
      <c r="Z21" s="5">
        <f t="shared" si="19"/>
        <v>-1</v>
      </c>
    </row>
    <row r="22" spans="1:26" s="24" customFormat="1" hidden="1" outlineLevel="2" x14ac:dyDescent="0.3">
      <c r="A22" s="27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/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171.54</v>
      </c>
      <c r="U22" s="2"/>
      <c r="V22" s="6">
        <f t="shared" si="17"/>
        <v>0</v>
      </c>
      <c r="W22" s="2"/>
      <c r="X22" s="7">
        <f t="shared" si="18"/>
        <v>-171.54</v>
      </c>
      <c r="Y22" s="2"/>
      <c r="Z22" s="6">
        <f t="shared" si="19"/>
        <v>-1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/>
      <c r="E23" s="2"/>
      <c r="F23" s="6">
        <f t="shared" si="12"/>
        <v>0</v>
      </c>
      <c r="G23" s="2"/>
      <c r="H23" s="7"/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699.3</v>
      </c>
      <c r="U23" s="2"/>
      <c r="V23" s="6">
        <f t="shared" si="17"/>
        <v>0</v>
      </c>
      <c r="W23" s="2"/>
      <c r="X23" s="7">
        <f t="shared" si="18"/>
        <v>-699.3</v>
      </c>
      <c r="Y23" s="2"/>
      <c r="Z23" s="6">
        <f t="shared" si="19"/>
        <v>-1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12"/>
        <v>0</v>
      </c>
      <c r="G24" s="2"/>
      <c r="H24" s="7"/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355.22</v>
      </c>
      <c r="U24" s="2"/>
      <c r="V24" s="6">
        <f t="shared" si="17"/>
        <v>0</v>
      </c>
      <c r="W24" s="2"/>
      <c r="X24" s="7">
        <f t="shared" si="18"/>
        <v>-355.22</v>
      </c>
      <c r="Y24" s="2"/>
      <c r="Z24" s="6">
        <f t="shared" si="19"/>
        <v>-1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12"/>
        <v>0</v>
      </c>
      <c r="G25" s="2"/>
      <c r="H25" s="7"/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88.46</v>
      </c>
      <c r="U25" s="2"/>
      <c r="V25" s="6">
        <f t="shared" si="17"/>
        <v>0</v>
      </c>
      <c r="W25" s="2"/>
      <c r="X25" s="7">
        <f t="shared" si="18"/>
        <v>-88.46</v>
      </c>
      <c r="Y25" s="2"/>
      <c r="Z25" s="6">
        <f t="shared" si="19"/>
        <v>-1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105.98</v>
      </c>
      <c r="U26" s="2"/>
      <c r="V26" s="6">
        <f t="shared" si="17"/>
        <v>0</v>
      </c>
      <c r="W26" s="2"/>
      <c r="X26" s="7">
        <f t="shared" si="18"/>
        <v>-105.98</v>
      </c>
      <c r="Y26" s="2"/>
      <c r="Z26" s="6">
        <f t="shared" si="19"/>
        <v>-1</v>
      </c>
    </row>
    <row r="27" spans="1:26" s="29" customFormat="1" outlineLevel="1" collapsed="1" x14ac:dyDescent="0.3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37" si="20">IF(D$12=0,0,D27/D$12)</f>
        <v>0</v>
      </c>
      <c r="G27" s="1"/>
      <c r="H27" s="1">
        <f>SUM(OSRRefH22_1x_0)</f>
        <v>0</v>
      </c>
      <c r="I27" s="1"/>
      <c r="J27" s="5">
        <f t="shared" ref="J27:J37" si="21">IF(H$12=0,0,H27/H$12)</f>
        <v>0</v>
      </c>
      <c r="K27" s="1"/>
      <c r="L27" s="1">
        <f t="shared" ref="L27:L37" si="22">+D27-H27</f>
        <v>0</v>
      </c>
      <c r="M27" s="1"/>
      <c r="N27" s="5">
        <f t="shared" ref="N27:N37" si="23">IF(H27=0,0,L27/H27)</f>
        <v>0</v>
      </c>
      <c r="O27" s="14"/>
      <c r="P27" s="1">
        <f>SUM(OSRRefP22_1x_0)</f>
        <v>0</v>
      </c>
      <c r="Q27" s="1"/>
      <c r="R27" s="5">
        <f t="shared" ref="R27:R37" si="24">IF(P$12=0,0,P27/P$12)</f>
        <v>0</v>
      </c>
      <c r="S27" s="1"/>
      <c r="T27" s="1">
        <f>SUM(OSRRefT22_1x_0)</f>
        <v>1378.61</v>
      </c>
      <c r="U27" s="1"/>
      <c r="V27" s="5">
        <f t="shared" ref="V27:V37" si="25">IF(T$12=0,0,T27/T$12)</f>
        <v>0</v>
      </c>
      <c r="W27" s="1"/>
      <c r="X27" s="1">
        <f t="shared" ref="X27:X37" si="26">+P27-T27</f>
        <v>-1378.61</v>
      </c>
      <c r="Y27" s="1"/>
      <c r="Z27" s="5">
        <f t="shared" ref="Z27:Z37" si="27">IF(T27=0,0,X27/T27)</f>
        <v>-1</v>
      </c>
    </row>
    <row r="28" spans="1:26" s="24" customFormat="1" hidden="1" outlineLevel="2" x14ac:dyDescent="0.3">
      <c r="A28" s="27"/>
      <c r="B28" s="11" t="str">
        <f>CONCATENATE("          ", "6002", " - ", "STAFF SALARIES")</f>
        <v xml:space="preserve">          6002 - STAFF SALARIES</v>
      </c>
      <c r="C28" s="11"/>
      <c r="D28" s="7"/>
      <c r="E28" s="2"/>
      <c r="F28" s="6">
        <f t="shared" si="20"/>
        <v>0</v>
      </c>
      <c r="G28" s="2"/>
      <c r="H28" s="7"/>
      <c r="I28" s="2"/>
      <c r="J28" s="6">
        <f t="shared" si="21"/>
        <v>0</v>
      </c>
      <c r="K28" s="2"/>
      <c r="L28" s="7">
        <f t="shared" si="22"/>
        <v>0</v>
      </c>
      <c r="M28" s="2"/>
      <c r="N28" s="6">
        <f t="shared" si="23"/>
        <v>0</v>
      </c>
      <c r="O28" s="11"/>
      <c r="P28" s="7"/>
      <c r="Q28" s="2"/>
      <c r="R28" s="6">
        <f t="shared" si="24"/>
        <v>0</v>
      </c>
      <c r="S28" s="2"/>
      <c r="T28" s="7">
        <v>1378.61</v>
      </c>
      <c r="U28" s="2"/>
      <c r="V28" s="6">
        <f t="shared" si="25"/>
        <v>0</v>
      </c>
      <c r="W28" s="2"/>
      <c r="X28" s="7">
        <f t="shared" si="26"/>
        <v>-1378.61</v>
      </c>
      <c r="Y28" s="2"/>
      <c r="Z28" s="6">
        <f t="shared" si="27"/>
        <v>-1</v>
      </c>
    </row>
    <row r="29" spans="1:26" s="29" customFormat="1" outlineLevel="1" collapsed="1" x14ac:dyDescent="0.3">
      <c r="A29" s="28"/>
      <c r="B29" s="14" t="str">
        <f>CONCATENATE("     ","Bank/card Fees                                    ")</f>
        <v xml:space="preserve">     Bank/card Fees                                    </v>
      </c>
      <c r="C29" s="14"/>
      <c r="D29" s="1">
        <f>SUM(OSRRefD22_2x_0)</f>
        <v>33.659999999999997</v>
      </c>
      <c r="E29" s="1"/>
      <c r="F29" s="5">
        <f t="shared" si="20"/>
        <v>2.382351067669811E-2</v>
      </c>
      <c r="G29" s="1"/>
      <c r="H29" s="1">
        <f>SUM(OSRRefH22_2x_0)</f>
        <v>0</v>
      </c>
      <c r="I29" s="1"/>
      <c r="J29" s="5">
        <f t="shared" si="21"/>
        <v>0</v>
      </c>
      <c r="K29" s="1"/>
      <c r="L29" s="1">
        <f t="shared" si="22"/>
        <v>33.659999999999997</v>
      </c>
      <c r="M29" s="1"/>
      <c r="N29" s="5">
        <f t="shared" si="23"/>
        <v>0</v>
      </c>
      <c r="O29" s="14"/>
      <c r="P29" s="1">
        <f>SUM(OSRRefP22_2x_0)</f>
        <v>167.07</v>
      </c>
      <c r="Q29" s="1"/>
      <c r="R29" s="5">
        <f t="shared" si="24"/>
        <v>1.9001486499243103E-2</v>
      </c>
      <c r="S29" s="1"/>
      <c r="T29" s="1">
        <f>SUM(OSRRefT22_2x_0)</f>
        <v>0</v>
      </c>
      <c r="U29" s="1"/>
      <c r="V29" s="5">
        <f t="shared" si="25"/>
        <v>0</v>
      </c>
      <c r="W29" s="1"/>
      <c r="X29" s="1">
        <f t="shared" si="26"/>
        <v>167.07</v>
      </c>
      <c r="Y29" s="1"/>
      <c r="Z29" s="5">
        <f t="shared" si="27"/>
        <v>0</v>
      </c>
    </row>
    <row r="30" spans="1:26" s="24" customFormat="1" hidden="1" outlineLevel="2" x14ac:dyDescent="0.3">
      <c r="A30" s="27"/>
      <c r="B30" s="11" t="str">
        <f>CONCATENATE("          ", "6381", " - ", "BANK/CREDIT CARD FEES")</f>
        <v xml:space="preserve">          6381 - BANK/CREDIT CARD FEES</v>
      </c>
      <c r="C30" s="11"/>
      <c r="D30" s="7">
        <v>33.659999999999997</v>
      </c>
      <c r="E30" s="2"/>
      <c r="F30" s="6">
        <f t="shared" si="20"/>
        <v>2.382351067669811E-2</v>
      </c>
      <c r="G30" s="2"/>
      <c r="H30" s="7"/>
      <c r="I30" s="2"/>
      <c r="J30" s="6">
        <f t="shared" si="21"/>
        <v>0</v>
      </c>
      <c r="K30" s="2"/>
      <c r="L30" s="7">
        <f t="shared" si="22"/>
        <v>33.659999999999997</v>
      </c>
      <c r="M30" s="2"/>
      <c r="N30" s="6">
        <f t="shared" si="23"/>
        <v>0</v>
      </c>
      <c r="O30" s="11"/>
      <c r="P30" s="7">
        <v>167.07</v>
      </c>
      <c r="Q30" s="2"/>
      <c r="R30" s="6">
        <f t="shared" si="24"/>
        <v>1.9001486499243103E-2</v>
      </c>
      <c r="S30" s="2"/>
      <c r="T30" s="7"/>
      <c r="U30" s="2"/>
      <c r="V30" s="6">
        <f t="shared" si="25"/>
        <v>0</v>
      </c>
      <c r="W30" s="2"/>
      <c r="X30" s="7">
        <f t="shared" si="26"/>
        <v>167.07</v>
      </c>
      <c r="Y30" s="2"/>
      <c r="Z30" s="6">
        <f t="shared" si="27"/>
        <v>0</v>
      </c>
    </row>
    <row r="31" spans="1:26" s="29" customFormat="1" outlineLevel="1" collapsed="1" x14ac:dyDescent="0.3">
      <c r="A31" s="28"/>
      <c r="B31" s="14" t="str">
        <f>CONCATENATE("     ","Depreciation                                      ")</f>
        <v xml:space="preserve">     Depreciation                                      </v>
      </c>
      <c r="C31" s="14"/>
      <c r="D31" s="1">
        <f>SUM(OSRRefD22_3x_0)</f>
        <v>1000.91</v>
      </c>
      <c r="E31" s="1"/>
      <c r="F31" s="5">
        <f t="shared" si="20"/>
        <v>0.7084132522701696</v>
      </c>
      <c r="G31" s="1"/>
      <c r="H31" s="1">
        <f>SUM(OSRRefH22_3x_0)</f>
        <v>1000.91</v>
      </c>
      <c r="I31" s="1"/>
      <c r="J31" s="5">
        <f t="shared" si="21"/>
        <v>0</v>
      </c>
      <c r="K31" s="1"/>
      <c r="L31" s="1">
        <f t="shared" si="22"/>
        <v>0</v>
      </c>
      <c r="M31" s="1"/>
      <c r="N31" s="5">
        <f t="shared" si="23"/>
        <v>0</v>
      </c>
      <c r="O31" s="14"/>
      <c r="P31" s="1">
        <f>SUM(OSRRefP22_3x_0)</f>
        <v>7006.37</v>
      </c>
      <c r="Q31" s="1"/>
      <c r="R31" s="5">
        <f t="shared" si="24"/>
        <v>0.79686026793381159</v>
      </c>
      <c r="S31" s="1"/>
      <c r="T31" s="1">
        <f>SUM(OSRRefT22_3x_0)</f>
        <v>7006.37</v>
      </c>
      <c r="U31" s="1"/>
      <c r="V31" s="5">
        <f t="shared" si="25"/>
        <v>0</v>
      </c>
      <c r="W31" s="1"/>
      <c r="X31" s="1">
        <f t="shared" si="26"/>
        <v>0</v>
      </c>
      <c r="Y31" s="1"/>
      <c r="Z31" s="5">
        <f t="shared" si="27"/>
        <v>0</v>
      </c>
    </row>
    <row r="32" spans="1:26" s="24" customFormat="1" hidden="1" outlineLevel="2" x14ac:dyDescent="0.3">
      <c r="A32" s="27"/>
      <c r="B32" s="11" t="str">
        <f>CONCATENATE("          ", "6322", " - ", "EQUIPMENT DEPRECIATION EXPENSE")</f>
        <v xml:space="preserve">          6322 - EQUIPMENT DEPRECIATION EXPENSE</v>
      </c>
      <c r="C32" s="11"/>
      <c r="D32" s="7">
        <v>1000.91</v>
      </c>
      <c r="E32" s="2"/>
      <c r="F32" s="6">
        <f t="shared" si="20"/>
        <v>0.7084132522701696</v>
      </c>
      <c r="G32" s="2"/>
      <c r="H32" s="7">
        <v>1000.91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>
        <v>7006.37</v>
      </c>
      <c r="Q32" s="2"/>
      <c r="R32" s="6">
        <f t="shared" si="24"/>
        <v>0.79686026793381159</v>
      </c>
      <c r="S32" s="2"/>
      <c r="T32" s="7">
        <v>7006.37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9" customFormat="1" outlineLevel="1" collapsed="1" x14ac:dyDescent="0.3">
      <c r="A33" s="28"/>
      <c r="B33" s="14" t="str">
        <f>CONCATENATE("     ","General                                           ")</f>
        <v xml:space="preserve">     General                                           </v>
      </c>
      <c r="C33" s="14"/>
      <c r="D33" s="1">
        <f>SUM(OSRRefD22_4x_0)</f>
        <v>900</v>
      </c>
      <c r="E33" s="1"/>
      <c r="F33" s="5">
        <f t="shared" si="20"/>
        <v>0.63699226408283727</v>
      </c>
      <c r="G33" s="1"/>
      <c r="H33" s="1">
        <f>SUM(OSRRefH22_4x_0)</f>
        <v>0</v>
      </c>
      <c r="I33" s="1"/>
      <c r="J33" s="5">
        <f t="shared" si="21"/>
        <v>0</v>
      </c>
      <c r="K33" s="1"/>
      <c r="L33" s="1">
        <f t="shared" si="22"/>
        <v>900</v>
      </c>
      <c r="M33" s="1"/>
      <c r="N33" s="5">
        <f t="shared" si="23"/>
        <v>0</v>
      </c>
      <c r="O33" s="14"/>
      <c r="P33" s="1">
        <f>SUM(OSRRefP22_4x_0)</f>
        <v>3355</v>
      </c>
      <c r="Q33" s="1"/>
      <c r="R33" s="5">
        <f t="shared" si="24"/>
        <v>0.3815765080802096</v>
      </c>
      <c r="S33" s="1"/>
      <c r="T33" s="1">
        <f>SUM(OSRRefT22_4x_0)</f>
        <v>455</v>
      </c>
      <c r="U33" s="1"/>
      <c r="V33" s="5">
        <f t="shared" si="25"/>
        <v>0</v>
      </c>
      <c r="W33" s="1"/>
      <c r="X33" s="1">
        <f t="shared" si="26"/>
        <v>2900</v>
      </c>
      <c r="Y33" s="1"/>
      <c r="Z33" s="5">
        <f t="shared" si="27"/>
        <v>6.3736263736263732</v>
      </c>
    </row>
    <row r="34" spans="1:26" s="24" customFormat="1" hidden="1" outlineLevel="2" x14ac:dyDescent="0.3">
      <c r="A34" s="27"/>
      <c r="B34" s="11" t="str">
        <f>CONCATENATE("          ", "6279", " - ", "GENERAL EXPENSE")</f>
        <v xml:space="preserve">          6279 - GENERAL EXPENSE</v>
      </c>
      <c r="C34" s="11"/>
      <c r="D34" s="7">
        <v>900</v>
      </c>
      <c r="E34" s="2"/>
      <c r="F34" s="6">
        <f t="shared" si="20"/>
        <v>0.63699226408283727</v>
      </c>
      <c r="G34" s="2"/>
      <c r="H34" s="7"/>
      <c r="I34" s="2"/>
      <c r="J34" s="6">
        <f t="shared" si="21"/>
        <v>0</v>
      </c>
      <c r="K34" s="2"/>
      <c r="L34" s="7">
        <f t="shared" si="22"/>
        <v>900</v>
      </c>
      <c r="M34" s="2"/>
      <c r="N34" s="6">
        <f t="shared" si="23"/>
        <v>0</v>
      </c>
      <c r="O34" s="11"/>
      <c r="P34" s="7">
        <v>3355</v>
      </c>
      <c r="Q34" s="2"/>
      <c r="R34" s="6">
        <f t="shared" si="24"/>
        <v>0.3815765080802096</v>
      </c>
      <c r="S34" s="2"/>
      <c r="T34" s="7">
        <v>455</v>
      </c>
      <c r="U34" s="2"/>
      <c r="V34" s="6">
        <f t="shared" si="25"/>
        <v>0</v>
      </c>
      <c r="W34" s="2"/>
      <c r="X34" s="7">
        <f t="shared" si="26"/>
        <v>2900</v>
      </c>
      <c r="Y34" s="2"/>
      <c r="Z34" s="6">
        <f t="shared" si="27"/>
        <v>6.3736263736263732</v>
      </c>
    </row>
    <row r="35" spans="1:26" s="29" customFormat="1" outlineLevel="1" collapsed="1" x14ac:dyDescent="0.3">
      <c r="A35" s="28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SUM(OSRRefD22_5x_0)</f>
        <v>0</v>
      </c>
      <c r="E35" s="1"/>
      <c r="F35" s="5">
        <f t="shared" si="20"/>
        <v>0</v>
      </c>
      <c r="G35" s="1"/>
      <c r="H35" s="1">
        <f>SUM(OSRRefH22_5x_0)</f>
        <v>0</v>
      </c>
      <c r="I35" s="1"/>
      <c r="J35" s="5">
        <f t="shared" si="21"/>
        <v>0</v>
      </c>
      <c r="K35" s="1"/>
      <c r="L35" s="1">
        <f t="shared" si="22"/>
        <v>0</v>
      </c>
      <c r="M35" s="1"/>
      <c r="N35" s="5">
        <f t="shared" si="23"/>
        <v>0</v>
      </c>
      <c r="O35" s="14"/>
      <c r="P35" s="1">
        <f>SUM(OSRRefP22_5x_0)</f>
        <v>0</v>
      </c>
      <c r="Q35" s="1"/>
      <c r="R35" s="5">
        <f t="shared" si="24"/>
        <v>0</v>
      </c>
      <c r="S35" s="1"/>
      <c r="T35" s="1">
        <f>SUM(OSRRefT22_5x_0)</f>
        <v>242.03</v>
      </c>
      <c r="U35" s="1"/>
      <c r="V35" s="5">
        <f t="shared" si="25"/>
        <v>0</v>
      </c>
      <c r="W35" s="1"/>
      <c r="X35" s="1">
        <f t="shared" si="26"/>
        <v>-242.03</v>
      </c>
      <c r="Y35" s="1"/>
      <c r="Z35" s="5">
        <f t="shared" si="27"/>
        <v>-1</v>
      </c>
    </row>
    <row r="36" spans="1:26" s="24" customFormat="1" hidden="1" outlineLevel="2" x14ac:dyDescent="0.3">
      <c r="A36" s="27"/>
      <c r="B36" s="11" t="str">
        <f>CONCATENATE("          ", "6373", " - ", "MAINTENANCE CONTRACTS")</f>
        <v xml:space="preserve">          6373 - MAINTENANCE CONTRACTS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235.8</v>
      </c>
      <c r="U36" s="2"/>
      <c r="V36" s="6">
        <f t="shared" si="25"/>
        <v>0</v>
      </c>
      <c r="W36" s="2"/>
      <c r="X36" s="7">
        <f t="shared" si="26"/>
        <v>-235.8</v>
      </c>
      <c r="Y36" s="2"/>
      <c r="Z36" s="6">
        <f t="shared" si="27"/>
        <v>-1</v>
      </c>
    </row>
    <row r="37" spans="1:26" s="24" customFormat="1" hidden="1" outlineLevel="2" x14ac:dyDescent="0.3">
      <c r="A37" s="27"/>
      <c r="B37" s="11" t="str">
        <f>CONCATENATE("          ", "6375", " - ", "OUTSIDE REPAIRS &amp; MAINTENANCE")</f>
        <v xml:space="preserve">          6375 - OUTSIDE REPAIRS &amp; MAINTENANCE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6.23</v>
      </c>
      <c r="U37" s="2"/>
      <c r="V37" s="6">
        <f t="shared" si="25"/>
        <v>0</v>
      </c>
      <c r="W37" s="2"/>
      <c r="X37" s="7">
        <f t="shared" si="26"/>
        <v>-6.23</v>
      </c>
      <c r="Y37" s="2"/>
      <c r="Z37" s="6">
        <f t="shared" si="27"/>
        <v>-1</v>
      </c>
    </row>
    <row r="38" spans="1:26" s="29" customFormat="1" outlineLevel="1" collapsed="1" x14ac:dyDescent="0.3">
      <c r="A38" s="28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1">
        <f>SUM(OSRRefD22_6x_0)</f>
        <v>0</v>
      </c>
      <c r="E38" s="1"/>
      <c r="F38" s="5">
        <f t="shared" ref="F38:F43" si="28">IF(D$12=0,0,D38/D$12)</f>
        <v>0</v>
      </c>
      <c r="G38" s="1"/>
      <c r="H38" s="1">
        <f>SUM(OSRRefH22_6x_0)</f>
        <v>0</v>
      </c>
      <c r="I38" s="1"/>
      <c r="J38" s="5">
        <f t="shared" ref="J38:J43" si="29">IF(H$12=0,0,H38/H$12)</f>
        <v>0</v>
      </c>
      <c r="K38" s="1"/>
      <c r="L38" s="1">
        <f t="shared" ref="L38:L43" si="30">+D38-H38</f>
        <v>0</v>
      </c>
      <c r="M38" s="1"/>
      <c r="N38" s="5">
        <f t="shared" ref="N38:N43" si="31">IF(H38=0,0,L38/H38)</f>
        <v>0</v>
      </c>
      <c r="O38" s="14"/>
      <c r="P38" s="1">
        <f>SUM(OSRRefP22_6x_0)</f>
        <v>1844.91</v>
      </c>
      <c r="Q38" s="1"/>
      <c r="R38" s="5">
        <f t="shared" ref="R38:R43" si="32">IF(P$12=0,0,P38/P$12)</f>
        <v>0.20982840999173158</v>
      </c>
      <c r="S38" s="1"/>
      <c r="T38" s="1">
        <f>SUM(OSRRefT22_6x_0)</f>
        <v>0</v>
      </c>
      <c r="U38" s="1"/>
      <c r="V38" s="5">
        <f t="shared" ref="V38:V43" si="33">IF(T$12=0,0,T38/T$12)</f>
        <v>0</v>
      </c>
      <c r="W38" s="1"/>
      <c r="X38" s="1">
        <f t="shared" ref="X38:X43" si="34">+P38-T38</f>
        <v>1844.91</v>
      </c>
      <c r="Y38" s="1"/>
      <c r="Z38" s="5">
        <f t="shared" ref="Z38:Z43" si="35">IF(T38=0,0,X38/T38)</f>
        <v>0</v>
      </c>
    </row>
    <row r="39" spans="1:26" s="24" customFormat="1" hidden="1" outlineLevel="2" x14ac:dyDescent="0.3">
      <c r="A39" s="27"/>
      <c r="B39" s="11" t="str">
        <f>CONCATENATE("          ", "6254", " - ", "ROYALTY &amp; COMMISSIONS")</f>
        <v xml:space="preserve">          6254 - ROYALTY &amp; COMMISSIONS</v>
      </c>
      <c r="C39" s="11"/>
      <c r="D39" s="7"/>
      <c r="E39" s="2"/>
      <c r="F39" s="6">
        <f t="shared" si="28"/>
        <v>0</v>
      </c>
      <c r="G39" s="2"/>
      <c r="H39" s="7"/>
      <c r="I39" s="2"/>
      <c r="J39" s="6">
        <f t="shared" si="29"/>
        <v>0</v>
      </c>
      <c r="K39" s="2"/>
      <c r="L39" s="7">
        <f t="shared" si="30"/>
        <v>0</v>
      </c>
      <c r="M39" s="2"/>
      <c r="N39" s="6">
        <f t="shared" si="31"/>
        <v>0</v>
      </c>
      <c r="O39" s="11"/>
      <c r="P39" s="7">
        <v>1844.91</v>
      </c>
      <c r="Q39" s="2"/>
      <c r="R39" s="6">
        <f t="shared" si="32"/>
        <v>0.20982840999173158</v>
      </c>
      <c r="S39" s="2"/>
      <c r="T39" s="7"/>
      <c r="U39" s="2"/>
      <c r="V39" s="6">
        <f t="shared" si="33"/>
        <v>0</v>
      </c>
      <c r="W39" s="2"/>
      <c r="X39" s="7">
        <f t="shared" si="34"/>
        <v>1844.91</v>
      </c>
      <c r="Y39" s="2"/>
      <c r="Z39" s="6">
        <f t="shared" si="35"/>
        <v>0</v>
      </c>
    </row>
    <row r="40" spans="1:26" s="29" customFormat="1" outlineLevel="1" collapsed="1" x14ac:dyDescent="0.3">
      <c r="A40" s="28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SUM(OSRRefD22_7x_0)</f>
        <v>0</v>
      </c>
      <c r="E40" s="1"/>
      <c r="F40" s="5">
        <f t="shared" si="28"/>
        <v>0</v>
      </c>
      <c r="G40" s="1"/>
      <c r="H40" s="1">
        <f>SUM(OSRRefH22_7x_0)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4"/>
      <c r="P40" s="1">
        <f>SUM(OSRRefP22_7x_0)</f>
        <v>116.26</v>
      </c>
      <c r="Q40" s="1"/>
      <c r="R40" s="5">
        <f t="shared" si="32"/>
        <v>1.3222678041551465E-2</v>
      </c>
      <c r="S40" s="1"/>
      <c r="T40" s="1">
        <f>SUM(OSRRefT22_7x_0)</f>
        <v>0</v>
      </c>
      <c r="U40" s="1"/>
      <c r="V40" s="5">
        <f t="shared" si="33"/>
        <v>0</v>
      </c>
      <c r="W40" s="1"/>
      <c r="X40" s="1">
        <f t="shared" si="34"/>
        <v>116.26</v>
      </c>
      <c r="Y40" s="1"/>
      <c r="Z40" s="5">
        <f t="shared" si="35"/>
        <v>0</v>
      </c>
    </row>
    <row r="41" spans="1:26" s="24" customFormat="1" hidden="1" outlineLevel="2" x14ac:dyDescent="0.3">
      <c r="A41" s="27"/>
      <c r="B41" s="11" t="str">
        <f>CONCATENATE("          ", "6243", " - ", "PAPER SUPPLIES")</f>
        <v xml:space="preserve">          6243 - PAPER SUPPLIES</v>
      </c>
      <c r="C41" s="11"/>
      <c r="D41" s="7"/>
      <c r="E41" s="2"/>
      <c r="F41" s="6">
        <f t="shared" si="28"/>
        <v>0</v>
      </c>
      <c r="G41" s="2"/>
      <c r="H41" s="7"/>
      <c r="I41" s="2"/>
      <c r="J41" s="6">
        <f t="shared" si="29"/>
        <v>0</v>
      </c>
      <c r="K41" s="2"/>
      <c r="L41" s="7">
        <f t="shared" si="30"/>
        <v>0</v>
      </c>
      <c r="M41" s="2"/>
      <c r="N41" s="6">
        <f t="shared" si="31"/>
        <v>0</v>
      </c>
      <c r="O41" s="11"/>
      <c r="P41" s="7">
        <v>116.26</v>
      </c>
      <c r="Q41" s="2"/>
      <c r="R41" s="6">
        <f t="shared" si="32"/>
        <v>1.3222678041551465E-2</v>
      </c>
      <c r="S41" s="2"/>
      <c r="T41" s="7"/>
      <c r="U41" s="2"/>
      <c r="V41" s="6">
        <f t="shared" si="33"/>
        <v>0</v>
      </c>
      <c r="W41" s="2"/>
      <c r="X41" s="7">
        <f t="shared" si="34"/>
        <v>116.26</v>
      </c>
      <c r="Y41" s="2"/>
      <c r="Z41" s="6">
        <f t="shared" si="35"/>
        <v>0</v>
      </c>
    </row>
    <row r="42" spans="1:26" s="29" customFormat="1" outlineLevel="1" collapsed="1" x14ac:dyDescent="0.3">
      <c r="A42" s="28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SUM(OSRRefD22_8x_0)</f>
        <v>0</v>
      </c>
      <c r="E42" s="1"/>
      <c r="F42" s="5">
        <f t="shared" si="28"/>
        <v>0</v>
      </c>
      <c r="G42" s="1"/>
      <c r="H42" s="1">
        <f>SUM(OSRRefH22_8x_0)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SUM(OSRRefP22_8x_0)</f>
        <v>0</v>
      </c>
      <c r="Q42" s="1"/>
      <c r="R42" s="5">
        <f t="shared" si="32"/>
        <v>0</v>
      </c>
      <c r="S42" s="1"/>
      <c r="T42" s="1">
        <f>SUM(OSRRefT22_8x_0)</f>
        <v>132.54</v>
      </c>
      <c r="U42" s="1"/>
      <c r="V42" s="5">
        <f t="shared" si="33"/>
        <v>0</v>
      </c>
      <c r="W42" s="1"/>
      <c r="X42" s="1">
        <f t="shared" si="34"/>
        <v>-132.54</v>
      </c>
      <c r="Y42" s="1"/>
      <c r="Z42" s="5">
        <f t="shared" si="35"/>
        <v>-1</v>
      </c>
    </row>
    <row r="43" spans="1:26" s="24" customFormat="1" hidden="1" outlineLevel="2" x14ac:dyDescent="0.3">
      <c r="A43" s="27"/>
      <c r="B43" s="11" t="str">
        <f>CONCATENATE("          ", "6309", " - ", "TELEPHONE")</f>
        <v xml:space="preserve">          6309 - TELEPHONE</v>
      </c>
      <c r="C43" s="11"/>
      <c r="D43" s="7"/>
      <c r="E43" s="2"/>
      <c r="F43" s="6">
        <f t="shared" si="28"/>
        <v>0</v>
      </c>
      <c r="G43" s="2"/>
      <c r="H43" s="7"/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132.54</v>
      </c>
      <c r="U43" s="2"/>
      <c r="V43" s="6">
        <f t="shared" si="33"/>
        <v>0</v>
      </c>
      <c r="W43" s="2"/>
      <c r="X43" s="7">
        <f t="shared" si="34"/>
        <v>-132.54</v>
      </c>
      <c r="Y43" s="2"/>
      <c r="Z43" s="6">
        <f t="shared" si="35"/>
        <v>-1</v>
      </c>
    </row>
    <row r="44" spans="1:26" s="52" customFormat="1" x14ac:dyDescent="0.3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3">
      <c r="A45" s="10"/>
      <c r="B45" s="26" t="s">
        <v>292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3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10"/>
      <c r="B47" s="25" t="s">
        <v>276</v>
      </c>
      <c r="C47" s="25"/>
      <c r="D47" s="21">
        <f>+D18-D20+D45</f>
        <v>-521.67999999999984</v>
      </c>
      <c r="E47" s="13"/>
      <c r="F47" s="22">
        <f>IF(D$12=0,0,D47/D$12)</f>
        <v>-0.36922902702970495</v>
      </c>
      <c r="G47" s="13"/>
      <c r="H47" s="21">
        <f>+H18-H20+H45</f>
        <v>-1000.91</v>
      </c>
      <c r="I47" s="13"/>
      <c r="J47" s="22">
        <f>IF(H$12=0,0,H47/H$12)</f>
        <v>0</v>
      </c>
      <c r="K47" s="15"/>
      <c r="L47" s="21">
        <f>+D47-H47</f>
        <v>479.23000000000013</v>
      </c>
      <c r="M47" s="15"/>
      <c r="N47" s="22">
        <f>IF(H47=0,0,L47/H47)</f>
        <v>-0.47879429718955763</v>
      </c>
      <c r="O47" s="26"/>
      <c r="P47" s="21">
        <f>+P18-P20+P45</f>
        <v>-10736.91</v>
      </c>
      <c r="Q47" s="13"/>
      <c r="R47" s="22">
        <f>IF(P$12=0,0,P47/P$12)</f>
        <v>-1.2211483235086387</v>
      </c>
      <c r="S47" s="13"/>
      <c r="T47" s="21">
        <f>+T18-T20+T45</f>
        <v>-10635.05</v>
      </c>
      <c r="U47" s="13"/>
      <c r="V47" s="22">
        <f>IF(T$12=0,0,T47/T$12)</f>
        <v>0</v>
      </c>
      <c r="W47" s="15"/>
      <c r="X47" s="21">
        <f>+P47-T47</f>
        <v>-101.86000000000058</v>
      </c>
      <c r="Y47" s="15"/>
      <c r="Z47" s="22">
        <f>IF(T47=0,0,X47/T47)</f>
        <v>9.5777640913771531E-3</v>
      </c>
    </row>
    <row r="48" spans="1:26" x14ac:dyDescent="0.3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51"/>
      <c r="B49" s="10" t="s">
        <v>127</v>
      </c>
      <c r="C49" s="10"/>
      <c r="D49" s="4">
        <v>275.55</v>
      </c>
      <c r="E49" s="4"/>
      <c r="F49" s="12">
        <f>IF(D$12=0,0,D49/D$12)</f>
        <v>0.19502579818669535</v>
      </c>
      <c r="G49" s="4"/>
      <c r="H49" s="4"/>
      <c r="I49" s="4"/>
      <c r="J49" s="12">
        <f>IF(H$12=0,0,H49/H$12)</f>
        <v>0</v>
      </c>
      <c r="K49" s="4"/>
      <c r="L49" s="4">
        <f>+D49-H49</f>
        <v>275.55</v>
      </c>
      <c r="M49" s="4"/>
      <c r="N49" s="12">
        <f>IF(H49=0,0,L49/H49)</f>
        <v>0</v>
      </c>
      <c r="O49" s="10"/>
      <c r="P49" s="4">
        <v>1163.8399999999999</v>
      </c>
      <c r="Q49" s="4"/>
      <c r="R49" s="12">
        <f>IF(P$12=0,0,P49/P$12)</f>
        <v>0.13236781018303162</v>
      </c>
      <c r="S49" s="4"/>
      <c r="T49" s="4"/>
      <c r="U49" s="4"/>
      <c r="V49" s="12">
        <f>IF(T$12=0,0,T49/T$12)</f>
        <v>0</v>
      </c>
      <c r="W49" s="4"/>
      <c r="X49" s="4">
        <f>+P49-T49</f>
        <v>1163.8399999999999</v>
      </c>
      <c r="Y49" s="4"/>
      <c r="Z49" s="12">
        <f>IF(T49=0,0,X49/T49)</f>
        <v>0</v>
      </c>
    </row>
    <row r="50" spans="1:26" x14ac:dyDescent="0.3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125</v>
      </c>
      <c r="C51" s="25"/>
      <c r="D51" s="36">
        <f>+D47-D49</f>
        <v>-797.22999999999979</v>
      </c>
      <c r="E51" s="13"/>
      <c r="F51" s="31">
        <f>IF(D$12=0,0,D51/D$12)</f>
        <v>-0.56425482521640025</v>
      </c>
      <c r="G51" s="13"/>
      <c r="H51" s="36">
        <f>+H47-H49</f>
        <v>-1000.91</v>
      </c>
      <c r="I51" s="13"/>
      <c r="J51" s="31">
        <f>IF(H$12=0,0,H51/H$12)</f>
        <v>0</v>
      </c>
      <c r="K51" s="15"/>
      <c r="L51" s="36">
        <f>D51-H51</f>
        <v>203.68000000000018</v>
      </c>
      <c r="M51" s="15"/>
      <c r="N51" s="31">
        <f>IF(H51=0,0,L51/H51)</f>
        <v>-0.20349481971406039</v>
      </c>
      <c r="O51" s="26"/>
      <c r="P51" s="36">
        <f>+P47-P49</f>
        <v>-11900.75</v>
      </c>
      <c r="Q51" s="13"/>
      <c r="R51" s="31">
        <f>IF(P$12=0,0,P51/P$12)</f>
        <v>-1.3535161336916703</v>
      </c>
      <c r="S51" s="13"/>
      <c r="T51" s="36">
        <f>+T47-T49</f>
        <v>-10635.05</v>
      </c>
      <c r="U51" s="13"/>
      <c r="V51" s="31">
        <f>IF(T$12=0,0,T51/T$12)</f>
        <v>0</v>
      </c>
      <c r="W51" s="15"/>
      <c r="X51" s="36">
        <f>P51-T51</f>
        <v>-1265.7000000000007</v>
      </c>
      <c r="Y51" s="15"/>
      <c r="Z51" s="31">
        <f>IF(T51=0,0,X51/T51)</f>
        <v>0.11901213440463382</v>
      </c>
    </row>
    <row r="52" spans="1:26" ht="15" thickTop="1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5" t="s">
        <v>293</v>
      </c>
      <c r="C54" s="25"/>
      <c r="D54" s="35">
        <f>SUM(D51:D53)</f>
        <v>-797.22999999999979</v>
      </c>
      <c r="E54" s="13"/>
      <c r="F54" s="32">
        <f>IF(D$12=0,0,D54/D$12)</f>
        <v>-0.56425482521640025</v>
      </c>
      <c r="G54" s="13"/>
      <c r="H54" s="35">
        <f>SUM(H51:H53)</f>
        <v>-1000.91</v>
      </c>
      <c r="I54" s="13"/>
      <c r="J54" s="32">
        <f>IF(H$12=0,0,H54/H$12)</f>
        <v>0</v>
      </c>
      <c r="K54" s="15"/>
      <c r="L54" s="35">
        <f>+D54-H54</f>
        <v>203.68000000000018</v>
      </c>
      <c r="M54" s="15"/>
      <c r="N54" s="32">
        <f>IF(H54=0,0,L54/H54)</f>
        <v>-0.20349481971406039</v>
      </c>
      <c r="O54" s="26"/>
      <c r="P54" s="35">
        <f>SUM(P51:P53)</f>
        <v>-11900.75</v>
      </c>
      <c r="Q54" s="13"/>
      <c r="R54" s="32">
        <f>IF(P$12=0,0,P54/P$12)</f>
        <v>-1.3535161336916703</v>
      </c>
      <c r="S54" s="13"/>
      <c r="T54" s="35">
        <f>SUM(T51:T53)</f>
        <v>-10635.05</v>
      </c>
      <c r="U54" s="13"/>
      <c r="V54" s="32">
        <f>IF(T$12=0,0,T54/T$12)</f>
        <v>0</v>
      </c>
      <c r="W54" s="15"/>
      <c r="X54" s="35">
        <f>+P54-T54</f>
        <v>-1265.7000000000007</v>
      </c>
      <c r="Y54" s="15"/>
      <c r="Z54" s="32">
        <f>IF(T54=0,0,X54/T54)</f>
        <v>0.11901213440463382</v>
      </c>
    </row>
    <row r="55" spans="1:26" ht="15" thickTop="1" x14ac:dyDescent="0.3">
      <c r="A55" s="9"/>
      <c r="C55" s="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4">
        <v>44604.028475694446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53" t="s">
        <v>56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A58" s="9"/>
      <c r="B58" s="5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","455", " - ", "Vending (old)")</f>
        <v>Department 455 - Vending (old)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6" t="s">
        <v>292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786.95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-786.95</v>
      </c>
      <c r="M20" s="4"/>
      <c r="N20" s="12">
        <f t="shared" ref="N20:N22" si="3">IF(H20=0,0,L20/H20)</f>
        <v>-1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13803.939999999999</v>
      </c>
      <c r="U20" s="4"/>
      <c r="V20" s="12">
        <f t="shared" ref="V20:V22" si="5">IF(T$12=0,0,T20/T$12)</f>
        <v>0</v>
      </c>
      <c r="W20" s="4"/>
      <c r="X20" s="4">
        <f t="shared" ref="X20:X22" si="6">+P20-T20</f>
        <v>-13803.939999999999</v>
      </c>
      <c r="Y20" s="4"/>
      <c r="Z20" s="12">
        <f t="shared" ref="Z20:Z22" si="7">IF(T20=0,0,X20/T20)</f>
        <v>-1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19">
        <f t="shared" si="0"/>
        <v>0</v>
      </c>
      <c r="G21" s="2"/>
      <c r="H21" s="2">
        <f>0</f>
        <v>0</v>
      </c>
      <c r="I21" s="2"/>
      <c r="J21" s="19">
        <f t="shared" si="1"/>
        <v>0</v>
      </c>
      <c r="K21" s="2"/>
      <c r="L21" s="2">
        <f t="shared" si="2"/>
        <v>0</v>
      </c>
      <c r="M21" s="2"/>
      <c r="N21" s="19">
        <f t="shared" si="3"/>
        <v>0</v>
      </c>
      <c r="O21" s="11"/>
      <c r="P21" s="2">
        <f t="shared" ref="P21:P22" si="9">0</f>
        <v>0</v>
      </c>
      <c r="Q21" s="2"/>
      <c r="R21" s="19">
        <f t="shared" si="4"/>
        <v>0</v>
      </c>
      <c r="S21" s="2"/>
      <c r="T21" s="2">
        <f>--11701.82</f>
        <v>11701.82</v>
      </c>
      <c r="U21" s="2"/>
      <c r="V21" s="19">
        <f t="shared" si="5"/>
        <v>0</v>
      </c>
      <c r="W21" s="2"/>
      <c r="X21" s="2">
        <f t="shared" si="6"/>
        <v>-11701.82</v>
      </c>
      <c r="Y21" s="2"/>
      <c r="Z21" s="19">
        <f t="shared" si="7"/>
        <v>-1</v>
      </c>
    </row>
    <row r="22" spans="1:26" s="24" customFormat="1" hidden="1" outlineLevel="1" x14ac:dyDescent="0.3">
      <c r="A22" s="44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19">
        <f t="shared" si="0"/>
        <v>0</v>
      </c>
      <c r="G22" s="2"/>
      <c r="H22" s="2">
        <f>--786.95</f>
        <v>786.95</v>
      </c>
      <c r="I22" s="2"/>
      <c r="J22" s="19">
        <f t="shared" si="1"/>
        <v>0</v>
      </c>
      <c r="K22" s="2"/>
      <c r="L22" s="2">
        <f t="shared" si="2"/>
        <v>-786.95</v>
      </c>
      <c r="M22" s="2"/>
      <c r="N22" s="19">
        <f t="shared" si="3"/>
        <v>-1</v>
      </c>
      <c r="O22" s="11"/>
      <c r="P22" s="2">
        <f t="shared" si="9"/>
        <v>0</v>
      </c>
      <c r="Q22" s="2"/>
      <c r="R22" s="19">
        <f t="shared" si="4"/>
        <v>0</v>
      </c>
      <c r="S22" s="2"/>
      <c r="T22" s="2">
        <f>--2102.12</f>
        <v>2102.12</v>
      </c>
      <c r="U22" s="2"/>
      <c r="V22" s="19">
        <f t="shared" si="5"/>
        <v>0</v>
      </c>
      <c r="W22" s="2"/>
      <c r="X22" s="2">
        <f t="shared" si="6"/>
        <v>-2102.12</v>
      </c>
      <c r="Y22" s="2"/>
      <c r="Z22" s="19">
        <f t="shared" si="7"/>
        <v>-1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5" t="s">
        <v>276</v>
      </c>
      <c r="C24" s="25"/>
      <c r="D24" s="21">
        <f>+D16-D18+D20</f>
        <v>0</v>
      </c>
      <c r="E24" s="13"/>
      <c r="F24" s="22">
        <f>IF(D$12=0,0,D24/D$12)</f>
        <v>0</v>
      </c>
      <c r="G24" s="13"/>
      <c r="H24" s="21">
        <f>+H16-H18+H20</f>
        <v>786.95</v>
      </c>
      <c r="I24" s="13"/>
      <c r="J24" s="22">
        <f>IF(H$12=0,0,H24/H$12)</f>
        <v>0</v>
      </c>
      <c r="K24" s="15"/>
      <c r="L24" s="21">
        <f>+D24-H24</f>
        <v>-786.95</v>
      </c>
      <c r="M24" s="15"/>
      <c r="N24" s="22">
        <f>IF(H24=0,0,L24/H24)</f>
        <v>-1</v>
      </c>
      <c r="O24" s="26"/>
      <c r="P24" s="21">
        <f>+P16-P18+P20</f>
        <v>0</v>
      </c>
      <c r="Q24" s="13"/>
      <c r="R24" s="22">
        <f>IF(P$12=0,0,P24/P$12)</f>
        <v>0</v>
      </c>
      <c r="S24" s="13"/>
      <c r="T24" s="21">
        <f>+T16-T18+T20</f>
        <v>13803.939999999999</v>
      </c>
      <c r="U24" s="13"/>
      <c r="V24" s="22">
        <f>IF(T$12=0,0,T24/T$12)</f>
        <v>0</v>
      </c>
      <c r="W24" s="15"/>
      <c r="X24" s="21">
        <f>+P24-T24</f>
        <v>-13803.939999999999</v>
      </c>
      <c r="Y24" s="15"/>
      <c r="Z24" s="22">
        <f>IF(T24=0,0,X24/T24)</f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5" t="s">
        <v>125</v>
      </c>
      <c r="C28" s="25"/>
      <c r="D28" s="36">
        <f>+D24-D26</f>
        <v>0</v>
      </c>
      <c r="E28" s="13"/>
      <c r="F28" s="31">
        <f>IF(D$12=0,0,D28/D$12)</f>
        <v>0</v>
      </c>
      <c r="G28" s="13"/>
      <c r="H28" s="36">
        <f>+H24-H26</f>
        <v>786.95</v>
      </c>
      <c r="I28" s="13"/>
      <c r="J28" s="31">
        <f>IF(H$12=0,0,H28/H$12)</f>
        <v>0</v>
      </c>
      <c r="K28" s="15"/>
      <c r="L28" s="36">
        <f>D28-H28</f>
        <v>-786.95</v>
      </c>
      <c r="M28" s="15"/>
      <c r="N28" s="31">
        <f>IF(H28=0,0,L28/H28)</f>
        <v>-1</v>
      </c>
      <c r="O28" s="26"/>
      <c r="P28" s="36">
        <f>+P24-P26</f>
        <v>0</v>
      </c>
      <c r="Q28" s="13"/>
      <c r="R28" s="31">
        <f>IF(P$12=0,0,P28/P$12)</f>
        <v>0</v>
      </c>
      <c r="S28" s="13"/>
      <c r="T28" s="36">
        <f>+T24-T26</f>
        <v>13803.939999999999</v>
      </c>
      <c r="U28" s="13"/>
      <c r="V28" s="31">
        <f>IF(T$12=0,0,T28/T$12)</f>
        <v>0</v>
      </c>
      <c r="W28" s="15"/>
      <c r="X28" s="36">
        <f>P28-T28</f>
        <v>-13803.939999999999</v>
      </c>
      <c r="Y28" s="15"/>
      <c r="Z28" s="31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5">
        <f>SUM(D28:D30)</f>
        <v>0</v>
      </c>
      <c r="E31" s="13"/>
      <c r="F31" s="32">
        <f>IF(D$12=0,0,D31/D$12)</f>
        <v>0</v>
      </c>
      <c r="G31" s="13"/>
      <c r="H31" s="35">
        <f>SUM(H28:H30)</f>
        <v>786.95</v>
      </c>
      <c r="I31" s="13"/>
      <c r="J31" s="32">
        <f>IF(H$12=0,0,H31/H$12)</f>
        <v>0</v>
      </c>
      <c r="K31" s="15"/>
      <c r="L31" s="35">
        <f>+D31-H31</f>
        <v>-786.95</v>
      </c>
      <c r="M31" s="15"/>
      <c r="N31" s="32">
        <f>IF(H31=0,0,L31/H31)</f>
        <v>-1</v>
      </c>
      <c r="O31" s="26"/>
      <c r="P31" s="35">
        <f>SUM(P28:P30)</f>
        <v>0</v>
      </c>
      <c r="Q31" s="13"/>
      <c r="R31" s="32">
        <f>IF(P$12=0,0,P31/P$12)</f>
        <v>0</v>
      </c>
      <c r="S31" s="13"/>
      <c r="T31" s="35">
        <f>SUM(T28:T30)</f>
        <v>13803.939999999999</v>
      </c>
      <c r="U31" s="13"/>
      <c r="V31" s="32">
        <f>IF(T$12=0,0,T31/T$12)</f>
        <v>0</v>
      </c>
      <c r="W31" s="15"/>
      <c r="X31" s="35">
        <f>+P31-T31</f>
        <v>-13803.939999999999</v>
      </c>
      <c r="Y31" s="15"/>
      <c r="Z31" s="32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4">
        <v>44604.028475694446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3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9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E57" sqref="E57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633381.82999999996</v>
      </c>
      <c r="E12" s="4"/>
      <c r="F12" s="12"/>
      <c r="G12" s="4"/>
      <c r="H12" s="4">
        <f>SUM(OSRRefH13x_0)</f>
        <v>38251.15</v>
      </c>
      <c r="I12" s="4"/>
      <c r="J12" s="12"/>
      <c r="K12" s="4"/>
      <c r="L12" s="4">
        <f t="shared" ref="L12:L15" si="0">+D12-H12</f>
        <v>595130.67999999993</v>
      </c>
      <c r="M12" s="4"/>
      <c r="N12" s="12">
        <f t="shared" ref="N12:N15" si="1">IF(H12=0,0,L12/H12)</f>
        <v>15.558504254120463</v>
      </c>
      <c r="O12" s="10"/>
      <c r="P12" s="4">
        <f>SUM(OSRRefP13x_0)</f>
        <v>6426331.46</v>
      </c>
      <c r="Q12" s="4"/>
      <c r="R12" s="12"/>
      <c r="S12" s="4"/>
      <c r="T12" s="4">
        <f>SUM(OSRRefT13x_0)</f>
        <v>674751.01</v>
      </c>
      <c r="U12" s="4"/>
      <c r="V12" s="12"/>
      <c r="W12" s="4"/>
      <c r="X12" s="4">
        <f t="shared" ref="X12:X15" si="2">+P12-T12</f>
        <v>5751580.4500000002</v>
      </c>
      <c r="Y12" s="4"/>
      <c r="Z12" s="12">
        <f t="shared" ref="Z12:Z15" si="3">IF(T12=0,0,X12/T12)</f>
        <v>8.5240042100863249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--100.09</f>
        <v>100.09</v>
      </c>
      <c r="E13" s="2"/>
      <c r="F13" s="19"/>
      <c r="G13" s="2"/>
      <c r="H13" s="2">
        <f>--46.44</f>
        <v>46.44</v>
      </c>
      <c r="I13" s="2"/>
      <c r="J13" s="19"/>
      <c r="K13" s="2"/>
      <c r="L13" s="2">
        <f t="shared" si="0"/>
        <v>53.650000000000006</v>
      </c>
      <c r="M13" s="2"/>
      <c r="N13" s="19">
        <f t="shared" si="1"/>
        <v>1.1552540913006031</v>
      </c>
      <c r="O13" s="11"/>
      <c r="P13" s="2">
        <f>--2683.96</f>
        <v>2683.96</v>
      </c>
      <c r="Q13" s="2"/>
      <c r="R13" s="19"/>
      <c r="S13" s="2"/>
      <c r="T13" s="2">
        <f>--579.52</f>
        <v>579.52</v>
      </c>
      <c r="U13" s="2"/>
      <c r="V13" s="19"/>
      <c r="W13" s="2"/>
      <c r="X13" s="2">
        <f t="shared" si="2"/>
        <v>2104.44</v>
      </c>
      <c r="Y13" s="2"/>
      <c r="Z13" s="19">
        <f t="shared" si="3"/>
        <v>3.6313500828271676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--628266.41</f>
        <v>628266.41</v>
      </c>
      <c r="E14" s="2"/>
      <c r="F14" s="19"/>
      <c r="G14" s="2"/>
      <c r="H14" s="2">
        <f>--35996.95</f>
        <v>35996.949999999997</v>
      </c>
      <c r="I14" s="2"/>
      <c r="J14" s="19"/>
      <c r="K14" s="2"/>
      <c r="L14" s="2">
        <f t="shared" si="0"/>
        <v>592269.46000000008</v>
      </c>
      <c r="M14" s="2"/>
      <c r="N14" s="19">
        <f t="shared" si="1"/>
        <v>16.453323406566394</v>
      </c>
      <c r="O14" s="11"/>
      <c r="P14" s="2">
        <f>--6362166.18</f>
        <v>6362166.1799999997</v>
      </c>
      <c r="Q14" s="2"/>
      <c r="R14" s="19"/>
      <c r="S14" s="2"/>
      <c r="T14" s="2">
        <f>--642202.33</f>
        <v>642202.32999999996</v>
      </c>
      <c r="U14" s="2"/>
      <c r="V14" s="19"/>
      <c r="W14" s="2"/>
      <c r="X14" s="2">
        <f t="shared" si="2"/>
        <v>5719963.8499999996</v>
      </c>
      <c r="Y14" s="2"/>
      <c r="Z14" s="19">
        <f t="shared" si="3"/>
        <v>8.9067939850046951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--5015.33</f>
        <v>5015.33</v>
      </c>
      <c r="E15" s="2"/>
      <c r="F15" s="19"/>
      <c r="G15" s="2"/>
      <c r="H15" s="2">
        <f>--2207.76</f>
        <v>2207.7600000000002</v>
      </c>
      <c r="I15" s="2"/>
      <c r="J15" s="19"/>
      <c r="K15" s="2"/>
      <c r="L15" s="2">
        <f t="shared" si="0"/>
        <v>2807.5699999999997</v>
      </c>
      <c r="M15" s="2"/>
      <c r="N15" s="19">
        <f t="shared" si="1"/>
        <v>1.2716826104286696</v>
      </c>
      <c r="O15" s="11"/>
      <c r="P15" s="2">
        <f>--61481.32</f>
        <v>61481.32</v>
      </c>
      <c r="Q15" s="2"/>
      <c r="R15" s="19"/>
      <c r="S15" s="2"/>
      <c r="T15" s="2">
        <f>--31969.16</f>
        <v>31969.16</v>
      </c>
      <c r="U15" s="2"/>
      <c r="V15" s="19"/>
      <c r="W15" s="2"/>
      <c r="X15" s="2">
        <f t="shared" si="2"/>
        <v>29512.16</v>
      </c>
      <c r="Y15" s="2"/>
      <c r="Z15" s="19">
        <f t="shared" si="3"/>
        <v>0.92314468068601119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98661.01999999999</v>
      </c>
      <c r="E17" s="4"/>
      <c r="F17" s="12">
        <f t="shared" ref="F17:F19" si="4">IF(D$12=0,0,D17/D$12)</f>
        <v>0.15576863011684436</v>
      </c>
      <c r="G17" s="4"/>
      <c r="H17" s="4">
        <f>SUM(OSRRefH16x_0)</f>
        <v>31982.57</v>
      </c>
      <c r="I17" s="4"/>
      <c r="J17" s="12">
        <f t="shared" ref="J17:J19" si="5">IF(H$12=0,0,H17/H$12)</f>
        <v>0.83612048265215555</v>
      </c>
      <c r="K17" s="4"/>
      <c r="L17" s="4">
        <f t="shared" ref="L17:L19" si="6">+D17-H17</f>
        <v>66678.449999999983</v>
      </c>
      <c r="M17" s="4"/>
      <c r="N17" s="12">
        <f t="shared" ref="N17:N19" si="7">IF(H17=0,0,L17/H17)</f>
        <v>2.0848371472336331</v>
      </c>
      <c r="O17" s="10"/>
      <c r="P17" s="4">
        <f>SUM(OSRRefP16x_0)</f>
        <v>1602809.29</v>
      </c>
      <c r="Q17" s="4"/>
      <c r="R17" s="12">
        <f t="shared" ref="R17:R19" si="8">IF(P$12=0,0,P17/P$12)</f>
        <v>0.24941279483893911</v>
      </c>
      <c r="S17" s="4"/>
      <c r="T17" s="4">
        <f>SUM(OSRRefT16x_0)</f>
        <v>282847.38</v>
      </c>
      <c r="U17" s="4"/>
      <c r="V17" s="12">
        <f t="shared" ref="V17:V19" si="9">IF(T$12=0,0,T17/T$12)</f>
        <v>0.41918778306089532</v>
      </c>
      <c r="W17" s="4"/>
      <c r="X17" s="4">
        <f t="shared" ref="X17:X19" si="10">+P17-T17</f>
        <v>1319961.9100000001</v>
      </c>
      <c r="Y17" s="4"/>
      <c r="Z17" s="12">
        <f t="shared" ref="Z17:Z19" si="11">IF(T17=0,0,X17/T17)</f>
        <v>4.6666930766691213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131261.01999999999</v>
      </c>
      <c r="E18" s="2"/>
      <c r="F18" s="19">
        <f t="shared" si="4"/>
        <v>0.20723837309952514</v>
      </c>
      <c r="G18" s="2"/>
      <c r="H18" s="2">
        <v>29350.59</v>
      </c>
      <c r="I18" s="2"/>
      <c r="J18" s="19">
        <f t="shared" si="5"/>
        <v>0.76731261674485596</v>
      </c>
      <c r="K18" s="2"/>
      <c r="L18" s="2">
        <f t="shared" si="6"/>
        <v>101910.43</v>
      </c>
      <c r="M18" s="2"/>
      <c r="N18" s="19">
        <f t="shared" si="7"/>
        <v>3.4721765388702575</v>
      </c>
      <c r="O18" s="11"/>
      <c r="P18" s="2">
        <v>1642668.35</v>
      </c>
      <c r="Q18" s="2"/>
      <c r="R18" s="19">
        <f t="shared" si="8"/>
        <v>0.25561525424335957</v>
      </c>
      <c r="S18" s="2"/>
      <c r="T18" s="2">
        <v>285679.08</v>
      </c>
      <c r="U18" s="2"/>
      <c r="V18" s="19">
        <f t="shared" si="9"/>
        <v>0.42338444221076454</v>
      </c>
      <c r="W18" s="2"/>
      <c r="X18" s="2">
        <f t="shared" si="10"/>
        <v>1356989.27</v>
      </c>
      <c r="Y18" s="2"/>
      <c r="Z18" s="19">
        <f t="shared" si="11"/>
        <v>4.750047745883248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-32600</v>
      </c>
      <c r="E19" s="2"/>
      <c r="F19" s="19">
        <f t="shared" si="4"/>
        <v>-5.1469742982680769E-2</v>
      </c>
      <c r="G19" s="2"/>
      <c r="H19" s="2">
        <v>2631.98</v>
      </c>
      <c r="I19" s="2"/>
      <c r="J19" s="19">
        <f t="shared" si="5"/>
        <v>6.8807865907299523E-2</v>
      </c>
      <c r="K19" s="2"/>
      <c r="L19" s="2">
        <f t="shared" si="6"/>
        <v>-35231.980000000003</v>
      </c>
      <c r="M19" s="2"/>
      <c r="N19" s="19">
        <f t="shared" si="7"/>
        <v>-13.386112356476874</v>
      </c>
      <c r="O19" s="11"/>
      <c r="P19" s="2">
        <v>-39859.06</v>
      </c>
      <c r="Q19" s="2"/>
      <c r="R19" s="19">
        <f t="shared" si="8"/>
        <v>-6.2024594044204498E-3</v>
      </c>
      <c r="S19" s="2"/>
      <c r="T19" s="2">
        <v>-2831.7</v>
      </c>
      <c r="U19" s="2"/>
      <c r="V19" s="19">
        <f t="shared" si="9"/>
        <v>-4.1966591498692231E-3</v>
      </c>
      <c r="W19" s="2"/>
      <c r="X19" s="2">
        <f t="shared" si="10"/>
        <v>-37027.360000000001</v>
      </c>
      <c r="Y19" s="2"/>
      <c r="Z19" s="19">
        <f t="shared" si="11"/>
        <v>13.076017939753505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534720.80999999994</v>
      </c>
      <c r="E21" s="13"/>
      <c r="F21" s="22">
        <f>IF(D$12=0,0,D21/D$12)</f>
        <v>0.84423136988315561</v>
      </c>
      <c r="G21" s="13"/>
      <c r="H21" s="21">
        <f>H12-H17</f>
        <v>6268.5800000000017</v>
      </c>
      <c r="I21" s="13"/>
      <c r="J21" s="22">
        <f>IF(H$12=0,0,H21/H$12)</f>
        <v>0.16387951734784448</v>
      </c>
      <c r="K21" s="15"/>
      <c r="L21" s="21">
        <f>+D21-H21</f>
        <v>528452.23</v>
      </c>
      <c r="M21" s="15"/>
      <c r="N21" s="22">
        <f>IF(H21=0,0,L21/H21)</f>
        <v>84.301744573731185</v>
      </c>
      <c r="O21" s="26"/>
      <c r="P21" s="21">
        <f>P12-P17</f>
        <v>4823522.17</v>
      </c>
      <c r="Q21" s="13"/>
      <c r="R21" s="22">
        <f>IF(P$12=0,0,P21/P$12)</f>
        <v>0.75058720516106092</v>
      </c>
      <c r="S21" s="13"/>
      <c r="T21" s="21">
        <f>T12-T17</f>
        <v>391903.63</v>
      </c>
      <c r="U21" s="13"/>
      <c r="V21" s="22">
        <f>IF(T$12=0,0,T21/T$12)</f>
        <v>0.58081221693910468</v>
      </c>
      <c r="W21" s="15"/>
      <c r="X21" s="21">
        <f>+P21-T21</f>
        <v>4431618.54</v>
      </c>
      <c r="Y21" s="15"/>
      <c r="Z21" s="22">
        <f>IF(T21=0,0,X21/T21)</f>
        <v>11.307929298843188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354706.53999999992</v>
      </c>
      <c r="E23" s="20"/>
      <c r="F23" s="30">
        <f t="shared" ref="F23:F33" si="12">IF(D$12=0,0,D23/D$12)</f>
        <v>0.56002007509435492</v>
      </c>
      <c r="G23" s="20"/>
      <c r="H23" s="20">
        <f>SUM(OSRRefH22x_0)</f>
        <v>181978.56000000006</v>
      </c>
      <c r="I23" s="20"/>
      <c r="J23" s="30">
        <f t="shared" ref="J23:J33" si="13">IF(H$12=0,0,H23/H$12)</f>
        <v>4.7574663768278871</v>
      </c>
      <c r="K23" s="4"/>
      <c r="L23" s="20">
        <f t="shared" ref="L23:L33" si="14">+D23-H23</f>
        <v>172727.97999999986</v>
      </c>
      <c r="M23" s="4"/>
      <c r="N23" s="30">
        <f t="shared" ref="N23:N33" si="15">IF(H23=0,0,L23/H23)</f>
        <v>0.94916664908217652</v>
      </c>
      <c r="O23" s="10"/>
      <c r="P23" s="20">
        <f>SUM(OSRRefP22x_0)</f>
        <v>3053968.7699999996</v>
      </c>
      <c r="Q23" s="20"/>
      <c r="R23" s="30">
        <f t="shared" ref="R23:R33" si="16">IF(P$12=0,0,P23/P$12)</f>
        <v>0.47522739668955694</v>
      </c>
      <c r="S23" s="20"/>
      <c r="T23" s="20">
        <f>SUM(OSRRefT22x_0)</f>
        <v>1585446.06</v>
      </c>
      <c r="U23" s="20"/>
      <c r="V23" s="30">
        <f t="shared" ref="V23:V33" si="17">IF(T$12=0,0,T23/T$12)</f>
        <v>2.3496757122305012</v>
      </c>
      <c r="W23" s="4"/>
      <c r="X23" s="20">
        <f t="shared" ref="X23:X33" si="18">+P23-T23</f>
        <v>1468522.7099999995</v>
      </c>
      <c r="Y23" s="4"/>
      <c r="Z23" s="30">
        <f t="shared" ref="Z23:Z33" si="19">IF(T23=0,0,X23/T23)</f>
        <v>0.92625207949364075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89533.7</v>
      </c>
      <c r="E24" s="1"/>
      <c r="F24" s="5">
        <f t="shared" si="12"/>
        <v>0.14135817568369463</v>
      </c>
      <c r="G24" s="1"/>
      <c r="H24" s="1">
        <f>SUM(OSRRefH22_0x_0)</f>
        <v>73060.73000000001</v>
      </c>
      <c r="I24" s="1"/>
      <c r="J24" s="5">
        <f t="shared" si="13"/>
        <v>1.9100270187955135</v>
      </c>
      <c r="K24" s="1"/>
      <c r="L24" s="1">
        <f t="shared" si="14"/>
        <v>16472.969999999987</v>
      </c>
      <c r="M24" s="1"/>
      <c r="N24" s="5">
        <f t="shared" si="15"/>
        <v>0.22546955115285577</v>
      </c>
      <c r="O24" s="14"/>
      <c r="P24" s="1">
        <f>SUM(OSRRefP22_0x_0)</f>
        <v>600703.31999999995</v>
      </c>
      <c r="Q24" s="1"/>
      <c r="R24" s="5">
        <f t="shared" si="16"/>
        <v>9.3475309161846432E-2</v>
      </c>
      <c r="S24" s="1"/>
      <c r="T24" s="1">
        <f>SUM(OSRRefT22_0x_0)</f>
        <v>539768.9800000001</v>
      </c>
      <c r="U24" s="1"/>
      <c r="V24" s="5">
        <f t="shared" si="17"/>
        <v>0.7999528300076203</v>
      </c>
      <c r="W24" s="1"/>
      <c r="X24" s="1">
        <f t="shared" si="18"/>
        <v>60934.339999999851</v>
      </c>
      <c r="Y24" s="1"/>
      <c r="Z24" s="5">
        <f t="shared" si="19"/>
        <v>0.11288966624202791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8909.86</v>
      </c>
      <c r="E25" s="2"/>
      <c r="F25" s="6">
        <f t="shared" si="12"/>
        <v>1.4067122828578776E-2</v>
      </c>
      <c r="G25" s="2"/>
      <c r="H25" s="7">
        <v>7273.64</v>
      </c>
      <c r="I25" s="2"/>
      <c r="J25" s="6">
        <f t="shared" si="13"/>
        <v>0.19015480580322422</v>
      </c>
      <c r="K25" s="2"/>
      <c r="L25" s="7">
        <f t="shared" si="14"/>
        <v>1636.2200000000003</v>
      </c>
      <c r="M25" s="2"/>
      <c r="N25" s="6">
        <f t="shared" si="15"/>
        <v>0.22495201852167557</v>
      </c>
      <c r="O25" s="11"/>
      <c r="P25" s="7">
        <v>81699.98</v>
      </c>
      <c r="Q25" s="2"/>
      <c r="R25" s="6">
        <f t="shared" si="16"/>
        <v>1.2713315599815015E-2</v>
      </c>
      <c r="S25" s="2"/>
      <c r="T25" s="7">
        <v>56379.68</v>
      </c>
      <c r="U25" s="2"/>
      <c r="V25" s="6">
        <f t="shared" si="17"/>
        <v>8.3556273594907249E-2</v>
      </c>
      <c r="W25" s="2"/>
      <c r="X25" s="7">
        <f t="shared" si="18"/>
        <v>25320.299999999996</v>
      </c>
      <c r="Y25" s="2"/>
      <c r="Z25" s="6">
        <f t="shared" si="19"/>
        <v>0.44910329395271481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4637.2700000000004</v>
      </c>
      <c r="E26" s="2"/>
      <c r="F26" s="6">
        <f t="shared" si="12"/>
        <v>7.3214446331685912E-3</v>
      </c>
      <c r="G26" s="2"/>
      <c r="H26" s="7">
        <v>881.13</v>
      </c>
      <c r="I26" s="2"/>
      <c r="J26" s="6">
        <f t="shared" si="13"/>
        <v>2.3035385864215847E-2</v>
      </c>
      <c r="K26" s="2"/>
      <c r="L26" s="7">
        <f t="shared" si="14"/>
        <v>3756.1400000000003</v>
      </c>
      <c r="M26" s="2"/>
      <c r="N26" s="6">
        <f t="shared" si="15"/>
        <v>4.2628670003291234</v>
      </c>
      <c r="O26" s="11"/>
      <c r="P26" s="7">
        <v>49404.83</v>
      </c>
      <c r="Q26" s="2"/>
      <c r="R26" s="6">
        <f t="shared" si="16"/>
        <v>7.6878745373647446E-3</v>
      </c>
      <c r="S26" s="2"/>
      <c r="T26" s="7">
        <v>34988.5</v>
      </c>
      <c r="U26" s="2"/>
      <c r="V26" s="6">
        <f t="shared" si="17"/>
        <v>5.1853942389800942E-2</v>
      </c>
      <c r="W26" s="2"/>
      <c r="X26" s="7">
        <f t="shared" si="18"/>
        <v>14416.330000000002</v>
      </c>
      <c r="Y26" s="2"/>
      <c r="Z26" s="6">
        <f t="shared" si="19"/>
        <v>0.41203052431513215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41931.949999999997</v>
      </c>
      <c r="E27" s="2"/>
      <c r="F27" s="6">
        <f t="shared" si="12"/>
        <v>6.6203272676767497E-2</v>
      </c>
      <c r="G27" s="2"/>
      <c r="H27" s="7">
        <v>45413.66</v>
      </c>
      <c r="I27" s="2"/>
      <c r="J27" s="6">
        <f t="shared" si="13"/>
        <v>1.1872495336741511</v>
      </c>
      <c r="K27" s="2"/>
      <c r="L27" s="7">
        <f t="shared" si="14"/>
        <v>-3481.7100000000064</v>
      </c>
      <c r="M27" s="2"/>
      <c r="N27" s="6">
        <f t="shared" si="15"/>
        <v>-7.6666580055428396E-2</v>
      </c>
      <c r="O27" s="11"/>
      <c r="P27" s="7">
        <v>300944.82</v>
      </c>
      <c r="Q27" s="2"/>
      <c r="R27" s="6">
        <f t="shared" si="16"/>
        <v>4.6829956075748386E-2</v>
      </c>
      <c r="S27" s="2"/>
      <c r="T27" s="7">
        <v>313005.59000000003</v>
      </c>
      <c r="U27" s="2"/>
      <c r="V27" s="6">
        <f t="shared" si="17"/>
        <v>0.46388309963404134</v>
      </c>
      <c r="W27" s="2"/>
      <c r="X27" s="7">
        <f t="shared" si="18"/>
        <v>-12060.770000000019</v>
      </c>
      <c r="Y27" s="2"/>
      <c r="Z27" s="6">
        <f t="shared" si="19"/>
        <v>-3.8532123340033697E-2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334.9</v>
      </c>
      <c r="E28" s="2"/>
      <c r="F28" s="6">
        <f t="shared" si="12"/>
        <v>5.2874898542637386E-4</v>
      </c>
      <c r="G28" s="2"/>
      <c r="H28" s="7">
        <v>555.41999999999996</v>
      </c>
      <c r="I28" s="2"/>
      <c r="J28" s="6">
        <f t="shared" si="13"/>
        <v>1.4520347754250524E-2</v>
      </c>
      <c r="K28" s="2"/>
      <c r="L28" s="7">
        <f t="shared" si="14"/>
        <v>-220.51999999999998</v>
      </c>
      <c r="M28" s="2"/>
      <c r="N28" s="6">
        <f t="shared" si="15"/>
        <v>-0.3970328760217493</v>
      </c>
      <c r="O28" s="11"/>
      <c r="P28" s="7">
        <v>3568.12</v>
      </c>
      <c r="Q28" s="2"/>
      <c r="R28" s="6">
        <f t="shared" si="16"/>
        <v>5.5523435450060025E-4</v>
      </c>
      <c r="S28" s="2"/>
      <c r="T28" s="7">
        <v>2201.2800000000002</v>
      </c>
      <c r="U28" s="2"/>
      <c r="V28" s="6">
        <f t="shared" si="17"/>
        <v>3.2623589551944504E-3</v>
      </c>
      <c r="W28" s="2"/>
      <c r="X28" s="7">
        <f t="shared" si="18"/>
        <v>1366.8399999999997</v>
      </c>
      <c r="Y28" s="2"/>
      <c r="Z28" s="6">
        <f t="shared" si="19"/>
        <v>0.62092964093618241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4106.9799999999996</v>
      </c>
      <c r="E29" s="2"/>
      <c r="F29" s="6">
        <f t="shared" si="12"/>
        <v>6.4842087434052219E-3</v>
      </c>
      <c r="G29" s="2"/>
      <c r="H29" s="7">
        <v>5305.4</v>
      </c>
      <c r="I29" s="2"/>
      <c r="J29" s="6">
        <f t="shared" si="13"/>
        <v>0.1386990979356176</v>
      </c>
      <c r="K29" s="2"/>
      <c r="L29" s="7">
        <f t="shared" si="14"/>
        <v>-1198.42</v>
      </c>
      <c r="M29" s="2"/>
      <c r="N29" s="6">
        <f t="shared" si="15"/>
        <v>-0.22588683228408793</v>
      </c>
      <c r="O29" s="11"/>
      <c r="P29" s="7">
        <v>29505.5</v>
      </c>
      <c r="Q29" s="2"/>
      <c r="R29" s="6">
        <f t="shared" si="16"/>
        <v>4.5913442503944541E-3</v>
      </c>
      <c r="S29" s="2"/>
      <c r="T29" s="7">
        <v>28955.78</v>
      </c>
      <c r="U29" s="2"/>
      <c r="V29" s="6">
        <f t="shared" si="17"/>
        <v>4.2913281448811763E-2</v>
      </c>
      <c r="W29" s="2"/>
      <c r="X29" s="7">
        <f t="shared" si="18"/>
        <v>549.72000000000116</v>
      </c>
      <c r="Y29" s="2"/>
      <c r="Z29" s="6">
        <f t="shared" si="19"/>
        <v>1.898481063193605E-2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2041.18</v>
      </c>
      <c r="E30" s="2"/>
      <c r="F30" s="6">
        <f t="shared" si="12"/>
        <v>3.2226690178339978E-3</v>
      </c>
      <c r="G30" s="2"/>
      <c r="H30" s="7">
        <v>1440.43</v>
      </c>
      <c r="I30" s="2"/>
      <c r="J30" s="6">
        <f t="shared" si="13"/>
        <v>3.765716847728761E-2</v>
      </c>
      <c r="K30" s="2"/>
      <c r="L30" s="7">
        <f t="shared" si="14"/>
        <v>600.75</v>
      </c>
      <c r="M30" s="2"/>
      <c r="N30" s="6">
        <f t="shared" si="15"/>
        <v>0.41706296036600182</v>
      </c>
      <c r="O30" s="11"/>
      <c r="P30" s="7">
        <v>11985.41</v>
      </c>
      <c r="Q30" s="2"/>
      <c r="R30" s="6">
        <f t="shared" si="16"/>
        <v>1.8650469672474689E-3</v>
      </c>
      <c r="S30" s="2"/>
      <c r="T30" s="7">
        <v>10473.23</v>
      </c>
      <c r="U30" s="2"/>
      <c r="V30" s="6">
        <f t="shared" si="17"/>
        <v>1.552162182017334E-2</v>
      </c>
      <c r="W30" s="2"/>
      <c r="X30" s="7">
        <f t="shared" si="18"/>
        <v>1512.1800000000003</v>
      </c>
      <c r="Y30" s="2"/>
      <c r="Z30" s="6">
        <f t="shared" si="19"/>
        <v>0.14438525650635003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13200.39</v>
      </c>
      <c r="E31" s="2"/>
      <c r="F31" s="6">
        <f t="shared" si="12"/>
        <v>2.0841125170894152E-2</v>
      </c>
      <c r="G31" s="2"/>
      <c r="H31" s="7">
        <v>6545.79</v>
      </c>
      <c r="I31" s="2"/>
      <c r="J31" s="6">
        <f t="shared" si="13"/>
        <v>0.17112661972254428</v>
      </c>
      <c r="K31" s="2"/>
      <c r="L31" s="7">
        <f t="shared" si="14"/>
        <v>6654.5999999999995</v>
      </c>
      <c r="M31" s="2"/>
      <c r="N31" s="6">
        <f t="shared" si="15"/>
        <v>1.0166228980764735</v>
      </c>
      <c r="O31" s="11"/>
      <c r="P31" s="7">
        <v>56920.32</v>
      </c>
      <c r="Q31" s="2"/>
      <c r="R31" s="6">
        <f t="shared" si="16"/>
        <v>8.8573582539734109E-3</v>
      </c>
      <c r="S31" s="2"/>
      <c r="T31" s="7">
        <v>46613.79</v>
      </c>
      <c r="U31" s="2"/>
      <c r="V31" s="6">
        <f t="shared" si="17"/>
        <v>6.9082949575725722E-2</v>
      </c>
      <c r="W31" s="2"/>
      <c r="X31" s="7">
        <f t="shared" si="18"/>
        <v>10306.529999999999</v>
      </c>
      <c r="Y31" s="2"/>
      <c r="Z31" s="6">
        <f t="shared" si="19"/>
        <v>0.22110474175131434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12102.14</v>
      </c>
      <c r="E32" s="2"/>
      <c r="F32" s="6">
        <f t="shared" si="12"/>
        <v>1.9107178998172398E-2</v>
      </c>
      <c r="G32" s="2"/>
      <c r="H32" s="7">
        <v>4211.6000000000004</v>
      </c>
      <c r="I32" s="2"/>
      <c r="J32" s="6">
        <f t="shared" si="13"/>
        <v>0.1101038792297748</v>
      </c>
      <c r="K32" s="2"/>
      <c r="L32" s="7">
        <f t="shared" si="14"/>
        <v>7890.5399999999991</v>
      </c>
      <c r="M32" s="2"/>
      <c r="N32" s="6">
        <f t="shared" si="15"/>
        <v>1.8735255009972454</v>
      </c>
      <c r="O32" s="11"/>
      <c r="P32" s="7">
        <v>44045.22</v>
      </c>
      <c r="Q32" s="2"/>
      <c r="R32" s="6">
        <f t="shared" si="16"/>
        <v>6.8538668249769992E-3</v>
      </c>
      <c r="S32" s="2"/>
      <c r="T32" s="7">
        <v>30875.83</v>
      </c>
      <c r="U32" s="2"/>
      <c r="V32" s="6">
        <f t="shared" si="17"/>
        <v>4.5758849623655992E-2</v>
      </c>
      <c r="W32" s="2"/>
      <c r="X32" s="7">
        <f t="shared" si="18"/>
        <v>13169.39</v>
      </c>
      <c r="Y32" s="2"/>
      <c r="Z32" s="6">
        <f t="shared" si="19"/>
        <v>0.4265274812045538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2269.0300000000002</v>
      </c>
      <c r="E33" s="2"/>
      <c r="F33" s="6">
        <f t="shared" si="12"/>
        <v>3.5824046294476121E-3</v>
      </c>
      <c r="G33" s="2"/>
      <c r="H33" s="7">
        <v>1433.66</v>
      </c>
      <c r="I33" s="2"/>
      <c r="J33" s="6">
        <f t="shared" si="13"/>
        <v>3.7480180334447465E-2</v>
      </c>
      <c r="K33" s="2"/>
      <c r="L33" s="7">
        <f t="shared" si="14"/>
        <v>835.37000000000012</v>
      </c>
      <c r="M33" s="2"/>
      <c r="N33" s="6">
        <f t="shared" si="15"/>
        <v>0.58268348143911397</v>
      </c>
      <c r="O33" s="11"/>
      <c r="P33" s="7">
        <v>22629.119999999999</v>
      </c>
      <c r="Q33" s="2"/>
      <c r="R33" s="6">
        <f t="shared" si="16"/>
        <v>3.5213122978253598E-3</v>
      </c>
      <c r="S33" s="2"/>
      <c r="T33" s="7">
        <v>16275.3</v>
      </c>
      <c r="U33" s="2"/>
      <c r="V33" s="6">
        <f t="shared" si="17"/>
        <v>2.4120452965309382E-2</v>
      </c>
      <c r="W33" s="2"/>
      <c r="X33" s="7">
        <f t="shared" si="18"/>
        <v>6353.82</v>
      </c>
      <c r="Y33" s="2"/>
      <c r="Z33" s="6">
        <f t="shared" si="19"/>
        <v>0.39039649038727398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176832.12999999998</v>
      </c>
      <c r="E34" s="1"/>
      <c r="F34" s="5">
        <f t="shared" ref="F34:F40" si="20">IF(D$12=0,0,D34/D$12)</f>
        <v>0.27918724791963168</v>
      </c>
      <c r="G34" s="1"/>
      <c r="H34" s="1">
        <f>SUM(OSRRefH22_1x_0)</f>
        <v>107539.51000000001</v>
      </c>
      <c r="I34" s="1"/>
      <c r="J34" s="5">
        <f t="shared" ref="J34:J40" si="21">IF(H$12=0,0,H34/H$12)</f>
        <v>2.8114059315863709</v>
      </c>
      <c r="K34" s="1"/>
      <c r="L34" s="1">
        <f t="shared" ref="L34:L40" si="22">+D34-H34</f>
        <v>69292.619999999966</v>
      </c>
      <c r="M34" s="1"/>
      <c r="N34" s="5">
        <f t="shared" ref="N34:N40" si="23">IF(H34=0,0,L34/H34)</f>
        <v>0.64434569210888126</v>
      </c>
      <c r="O34" s="14"/>
      <c r="P34" s="1">
        <f>SUM(OSRRefP22_1x_0)</f>
        <v>1511463.79</v>
      </c>
      <c r="Q34" s="1"/>
      <c r="R34" s="5">
        <f t="shared" ref="R34:R40" si="24">IF(P$12=0,0,P34/P$12)</f>
        <v>0.23519854203100815</v>
      </c>
      <c r="S34" s="1"/>
      <c r="T34" s="1">
        <f>SUM(OSRRefT22_1x_0)</f>
        <v>748055.5199999999</v>
      </c>
      <c r="U34" s="1"/>
      <c r="V34" s="5">
        <f t="shared" ref="V34:V40" si="25">IF(T$12=0,0,T34/T$12)</f>
        <v>1.108639348313091</v>
      </c>
      <c r="W34" s="1"/>
      <c r="X34" s="1">
        <f t="shared" ref="X34:X40" si="26">+P34-T34</f>
        <v>763408.27000000014</v>
      </c>
      <c r="Y34" s="1"/>
      <c r="Z34" s="5">
        <f t="shared" ref="Z34:Z40" si="27">IF(T34=0,0,X34/T34)</f>
        <v>1.0205235434931357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>
        <v>9783.33</v>
      </c>
      <c r="E35" s="2"/>
      <c r="F35" s="6">
        <f t="shared" si="20"/>
        <v>1.5446180386955529E-2</v>
      </c>
      <c r="G35" s="2"/>
      <c r="H35" s="7">
        <v>10826.56</v>
      </c>
      <c r="I35" s="2"/>
      <c r="J35" s="6">
        <f t="shared" si="21"/>
        <v>0.2830388105978513</v>
      </c>
      <c r="K35" s="2"/>
      <c r="L35" s="7">
        <f t="shared" si="22"/>
        <v>-1043.2299999999996</v>
      </c>
      <c r="M35" s="2"/>
      <c r="N35" s="6">
        <f t="shared" si="23"/>
        <v>-9.6358400082759393E-2</v>
      </c>
      <c r="O35" s="11"/>
      <c r="P35" s="7">
        <v>65529.53</v>
      </c>
      <c r="Q35" s="2"/>
      <c r="R35" s="6">
        <f t="shared" si="24"/>
        <v>1.0197035494960293E-2</v>
      </c>
      <c r="S35" s="2"/>
      <c r="T35" s="7">
        <v>64135.82</v>
      </c>
      <c r="U35" s="2"/>
      <c r="V35" s="6">
        <f t="shared" si="25"/>
        <v>9.5051091513001215E-2</v>
      </c>
      <c r="W35" s="2"/>
      <c r="X35" s="7">
        <f t="shared" si="26"/>
        <v>1393.7099999999991</v>
      </c>
      <c r="Y35" s="2"/>
      <c r="Z35" s="6">
        <f t="shared" si="27"/>
        <v>2.1730602337352186E-2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7">
        <v>38829.83</v>
      </c>
      <c r="E36" s="2"/>
      <c r="F36" s="6">
        <f t="shared" si="20"/>
        <v>6.1305563501876909E-2</v>
      </c>
      <c r="G36" s="2"/>
      <c r="H36" s="7">
        <v>32454.49</v>
      </c>
      <c r="I36" s="2"/>
      <c r="J36" s="6">
        <f t="shared" si="21"/>
        <v>0.84845788950136136</v>
      </c>
      <c r="K36" s="2"/>
      <c r="L36" s="7">
        <f t="shared" si="22"/>
        <v>6375.34</v>
      </c>
      <c r="M36" s="2"/>
      <c r="N36" s="6">
        <f t="shared" si="23"/>
        <v>0.19643938327177532</v>
      </c>
      <c r="O36" s="11"/>
      <c r="P36" s="7">
        <v>263579.39</v>
      </c>
      <c r="Q36" s="2"/>
      <c r="R36" s="6">
        <f t="shared" si="24"/>
        <v>4.1015529877445819E-2</v>
      </c>
      <c r="S36" s="2"/>
      <c r="T36" s="7">
        <v>202412.44</v>
      </c>
      <c r="U36" s="2"/>
      <c r="V36" s="6">
        <f t="shared" si="25"/>
        <v>0.29998093667173614</v>
      </c>
      <c r="W36" s="2"/>
      <c r="X36" s="7">
        <f t="shared" si="26"/>
        <v>61166.950000000012</v>
      </c>
      <c r="Y36" s="2"/>
      <c r="Z36" s="6">
        <f t="shared" si="27"/>
        <v>0.30218967767000887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7">
        <v>51707.72</v>
      </c>
      <c r="E37" s="2"/>
      <c r="F37" s="6">
        <f t="shared" si="20"/>
        <v>8.1637517135595764E-2</v>
      </c>
      <c r="G37" s="2"/>
      <c r="H37" s="7">
        <v>37580.93</v>
      </c>
      <c r="I37" s="2"/>
      <c r="J37" s="6">
        <f t="shared" si="21"/>
        <v>0.98247843528887369</v>
      </c>
      <c r="K37" s="2"/>
      <c r="L37" s="7">
        <f t="shared" si="22"/>
        <v>14126.79</v>
      </c>
      <c r="M37" s="2"/>
      <c r="N37" s="6">
        <f t="shared" si="23"/>
        <v>0.37590315087998089</v>
      </c>
      <c r="O37" s="11"/>
      <c r="P37" s="7">
        <v>513422.36</v>
      </c>
      <c r="Q37" s="2"/>
      <c r="R37" s="6">
        <f t="shared" si="24"/>
        <v>7.9893538513495843E-2</v>
      </c>
      <c r="S37" s="2"/>
      <c r="T37" s="7">
        <v>312897.69</v>
      </c>
      <c r="U37" s="2"/>
      <c r="V37" s="6">
        <f t="shared" si="25"/>
        <v>0.46372318879522684</v>
      </c>
      <c r="W37" s="2"/>
      <c r="X37" s="7">
        <f t="shared" si="26"/>
        <v>200524.66999999998</v>
      </c>
      <c r="Y37" s="2"/>
      <c r="Z37" s="6">
        <f t="shared" si="27"/>
        <v>0.64086337614061639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7">
        <v>17763.560000000001</v>
      </c>
      <c r="E38" s="2"/>
      <c r="F38" s="6">
        <f t="shared" si="20"/>
        <v>2.8045578762497816E-2</v>
      </c>
      <c r="G38" s="2"/>
      <c r="H38" s="7">
        <v>8579.9500000000007</v>
      </c>
      <c r="I38" s="2"/>
      <c r="J38" s="6">
        <f t="shared" si="21"/>
        <v>0.22430567446991792</v>
      </c>
      <c r="K38" s="2"/>
      <c r="L38" s="7">
        <f t="shared" si="22"/>
        <v>9183.61</v>
      </c>
      <c r="M38" s="2"/>
      <c r="N38" s="6">
        <f t="shared" si="23"/>
        <v>1.0703570533627818</v>
      </c>
      <c r="O38" s="11"/>
      <c r="P38" s="7">
        <v>266716.18</v>
      </c>
      <c r="Q38" s="2"/>
      <c r="R38" s="6">
        <f t="shared" si="24"/>
        <v>4.1503645067196705E-2</v>
      </c>
      <c r="S38" s="2"/>
      <c r="T38" s="7">
        <v>70743.679999999993</v>
      </c>
      <c r="U38" s="2"/>
      <c r="V38" s="6">
        <f t="shared" si="25"/>
        <v>0.10484412613180082</v>
      </c>
      <c r="W38" s="2"/>
      <c r="X38" s="7">
        <f t="shared" si="26"/>
        <v>195972.5</v>
      </c>
      <c r="Y38" s="2"/>
      <c r="Z38" s="6">
        <f t="shared" si="27"/>
        <v>2.7701767846965271</v>
      </c>
    </row>
    <row r="39" spans="1:26" s="24" customFormat="1" hidden="1" outlineLevel="2" x14ac:dyDescent="0.3">
      <c r="A39" s="27"/>
      <c r="B39" s="11" t="str">
        <f>CONCATENATE("          ", "6007", " - ", "STUDENT HOURLY")</f>
        <v xml:space="preserve">          6007 - STUDENT HOURLY</v>
      </c>
      <c r="C39" s="11"/>
      <c r="D39" s="7">
        <v>50006.36</v>
      </c>
      <c r="E39" s="2"/>
      <c r="F39" s="6">
        <f t="shared" si="20"/>
        <v>7.8951364929429696E-2</v>
      </c>
      <c r="G39" s="2"/>
      <c r="H39" s="7">
        <v>18097.580000000002</v>
      </c>
      <c r="I39" s="2"/>
      <c r="J39" s="6">
        <f t="shared" si="21"/>
        <v>0.47312512172836635</v>
      </c>
      <c r="K39" s="2"/>
      <c r="L39" s="7">
        <f t="shared" si="22"/>
        <v>31908.78</v>
      </c>
      <c r="M39" s="2"/>
      <c r="N39" s="6">
        <f t="shared" si="23"/>
        <v>1.7631517584118979</v>
      </c>
      <c r="O39" s="11"/>
      <c r="P39" s="7">
        <v>318074.99</v>
      </c>
      <c r="Q39" s="2"/>
      <c r="R39" s="6">
        <f t="shared" si="24"/>
        <v>4.9495577994976309E-2</v>
      </c>
      <c r="S39" s="2"/>
      <c r="T39" s="7">
        <v>87235.01</v>
      </c>
      <c r="U39" s="2"/>
      <c r="V39" s="6">
        <f t="shared" si="25"/>
        <v>0.12928474164121664</v>
      </c>
      <c r="W39" s="2"/>
      <c r="X39" s="7">
        <f t="shared" si="26"/>
        <v>230839.97999999998</v>
      </c>
      <c r="Y39" s="2"/>
      <c r="Z39" s="6">
        <f t="shared" si="27"/>
        <v>2.6461850580403441</v>
      </c>
    </row>
    <row r="40" spans="1:26" s="24" customFormat="1" hidden="1" outlineLevel="2" x14ac:dyDescent="0.3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>
        <v>8741.33</v>
      </c>
      <c r="E40" s="2"/>
      <c r="F40" s="6">
        <f t="shared" si="20"/>
        <v>1.3801043203275977E-2</v>
      </c>
      <c r="G40" s="2"/>
      <c r="H40" s="7"/>
      <c r="I40" s="2"/>
      <c r="J40" s="6">
        <f t="shared" si="21"/>
        <v>0</v>
      </c>
      <c r="K40" s="2"/>
      <c r="L40" s="7">
        <f t="shared" si="22"/>
        <v>8741.33</v>
      </c>
      <c r="M40" s="2"/>
      <c r="N40" s="6">
        <f t="shared" si="23"/>
        <v>0</v>
      </c>
      <c r="O40" s="11"/>
      <c r="P40" s="7">
        <v>84141.34</v>
      </c>
      <c r="Q40" s="2"/>
      <c r="R40" s="6">
        <f t="shared" si="24"/>
        <v>1.3093215082933179E-2</v>
      </c>
      <c r="S40" s="2"/>
      <c r="T40" s="7">
        <v>10630.88</v>
      </c>
      <c r="U40" s="2"/>
      <c r="V40" s="6">
        <f t="shared" si="25"/>
        <v>1.5755263560109378E-2</v>
      </c>
      <c r="W40" s="2"/>
      <c r="X40" s="7">
        <f t="shared" si="26"/>
        <v>73510.459999999992</v>
      </c>
      <c r="Y40" s="2"/>
      <c r="Z40" s="6">
        <f t="shared" si="27"/>
        <v>6.9148047950875187</v>
      </c>
    </row>
    <row r="41" spans="1:26" s="29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223.57</v>
      </c>
      <c r="E41" s="1"/>
      <c r="F41" s="5">
        <f t="shared" ref="F41:F64" si="28">IF(D$12=0,0,D41/D$12)</f>
        <v>3.5297823431404722E-4</v>
      </c>
      <c r="G41" s="1"/>
      <c r="H41" s="1">
        <f>SUM(OSRRefH22_2x_0)</f>
        <v>16.170000000000002</v>
      </c>
      <c r="I41" s="1"/>
      <c r="J41" s="5">
        <f t="shared" ref="J41:J64" si="29">IF(H$12=0,0,H41/H$12)</f>
        <v>4.227323884379947E-4</v>
      </c>
      <c r="K41" s="1"/>
      <c r="L41" s="1">
        <f t="shared" ref="L41:L64" si="30">+D41-H41</f>
        <v>207.39999999999998</v>
      </c>
      <c r="M41" s="1"/>
      <c r="N41" s="5">
        <f t="shared" ref="N41:N64" si="31">IF(H41=0,0,L41/H41)</f>
        <v>12.826221397649967</v>
      </c>
      <c r="O41" s="14"/>
      <c r="P41" s="1">
        <f>SUM(OSRRefP22_2x_0)</f>
        <v>3421.07</v>
      </c>
      <c r="Q41" s="1"/>
      <c r="R41" s="5">
        <f t="shared" ref="R41:R64" si="32">IF(P$12=0,0,P41/P$12)</f>
        <v>5.3235193691674289E-4</v>
      </c>
      <c r="S41" s="1"/>
      <c r="T41" s="1">
        <f>SUM(OSRRefT22_2x_0)</f>
        <v>1445.17</v>
      </c>
      <c r="U41" s="1"/>
      <c r="V41" s="5">
        <f t="shared" ref="V41:V64" si="33">IF(T$12=0,0,T41/T$12)</f>
        <v>2.1417826406810417E-3</v>
      </c>
      <c r="W41" s="1"/>
      <c r="X41" s="1">
        <f t="shared" ref="X41:X64" si="34">+P41-T41</f>
        <v>1975.9</v>
      </c>
      <c r="Y41" s="1"/>
      <c r="Z41" s="5">
        <f t="shared" ref="Z41:Z64" si="35">IF(T41=0,0,X41/T41)</f>
        <v>1.3672439920562978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7">
        <v>223.57</v>
      </c>
      <c r="E42" s="2"/>
      <c r="F42" s="6">
        <f t="shared" si="28"/>
        <v>3.5297823431404722E-4</v>
      </c>
      <c r="G42" s="2"/>
      <c r="H42" s="7">
        <v>16.170000000000002</v>
      </c>
      <c r="I42" s="2"/>
      <c r="J42" s="6">
        <f t="shared" si="29"/>
        <v>4.227323884379947E-4</v>
      </c>
      <c r="K42" s="2"/>
      <c r="L42" s="7">
        <f t="shared" si="30"/>
        <v>207.39999999999998</v>
      </c>
      <c r="M42" s="2"/>
      <c r="N42" s="6">
        <f t="shared" si="31"/>
        <v>12.826221397649967</v>
      </c>
      <c r="O42" s="11"/>
      <c r="P42" s="7">
        <v>3421.07</v>
      </c>
      <c r="Q42" s="2"/>
      <c r="R42" s="6">
        <f t="shared" si="32"/>
        <v>5.3235193691674289E-4</v>
      </c>
      <c r="S42" s="2"/>
      <c r="T42" s="7">
        <v>1445.17</v>
      </c>
      <c r="U42" s="2"/>
      <c r="V42" s="6">
        <f t="shared" si="33"/>
        <v>2.1417826406810417E-3</v>
      </c>
      <c r="W42" s="2"/>
      <c r="X42" s="7">
        <f t="shared" si="34"/>
        <v>1975.9</v>
      </c>
      <c r="Y42" s="2"/>
      <c r="Z42" s="6">
        <f t="shared" si="35"/>
        <v>1.3672439920562978</v>
      </c>
    </row>
    <row r="43" spans="1:26" s="29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17.100000000000001</v>
      </c>
      <c r="E43" s="1"/>
      <c r="F43" s="5">
        <f t="shared" si="28"/>
        <v>2.6997932668829486E-5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17.100000000000001</v>
      </c>
      <c r="M43" s="1"/>
      <c r="N43" s="5">
        <f t="shared" si="31"/>
        <v>0</v>
      </c>
      <c r="O43" s="14"/>
      <c r="P43" s="1">
        <f>SUM(OSRRefP22_3x_0)</f>
        <v>-6.8</v>
      </c>
      <c r="Q43" s="1"/>
      <c r="R43" s="5">
        <f t="shared" si="32"/>
        <v>-1.0581464778662382E-6</v>
      </c>
      <c r="S43" s="1"/>
      <c r="T43" s="1">
        <f>SUM(OSRRefT22_3x_0)</f>
        <v>69.739999999999995</v>
      </c>
      <c r="U43" s="1"/>
      <c r="V43" s="5">
        <f t="shared" si="33"/>
        <v>1.0335664410491211E-4</v>
      </c>
      <c r="W43" s="1"/>
      <c r="X43" s="1">
        <f t="shared" si="34"/>
        <v>-76.539999999999992</v>
      </c>
      <c r="Y43" s="1"/>
      <c r="Z43" s="5">
        <f t="shared" si="35"/>
        <v>-1.0975050186406652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7">
        <v>17.100000000000001</v>
      </c>
      <c r="E44" s="2"/>
      <c r="F44" s="6">
        <f t="shared" si="28"/>
        <v>2.6997932668829486E-5</v>
      </c>
      <c r="G44" s="2"/>
      <c r="H44" s="7"/>
      <c r="I44" s="2"/>
      <c r="J44" s="6">
        <f t="shared" si="29"/>
        <v>0</v>
      </c>
      <c r="K44" s="2"/>
      <c r="L44" s="7">
        <f t="shared" si="30"/>
        <v>17.100000000000001</v>
      </c>
      <c r="M44" s="2"/>
      <c r="N44" s="6">
        <f t="shared" si="31"/>
        <v>0</v>
      </c>
      <c r="O44" s="11"/>
      <c r="P44" s="7">
        <v>-6.8</v>
      </c>
      <c r="Q44" s="2"/>
      <c r="R44" s="6">
        <f t="shared" si="32"/>
        <v>-1.0581464778662382E-6</v>
      </c>
      <c r="S44" s="2"/>
      <c r="T44" s="7">
        <v>69.739999999999995</v>
      </c>
      <c r="U44" s="2"/>
      <c r="V44" s="6">
        <f t="shared" si="33"/>
        <v>1.0335664410491211E-4</v>
      </c>
      <c r="W44" s="2"/>
      <c r="X44" s="7">
        <f t="shared" si="34"/>
        <v>-76.539999999999992</v>
      </c>
      <c r="Y44" s="2"/>
      <c r="Z44" s="6">
        <f t="shared" si="35"/>
        <v>-1.0975050186406652</v>
      </c>
    </row>
    <row r="45" spans="1:26" s="29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58.62</v>
      </c>
      <c r="E45" s="1"/>
      <c r="F45" s="5">
        <f t="shared" si="28"/>
        <v>9.2550807780513689E-5</v>
      </c>
      <c r="G45" s="1"/>
      <c r="H45" s="1">
        <f>SUM(OSRRefH22_4x_0)</f>
        <v>76.12</v>
      </c>
      <c r="I45" s="1"/>
      <c r="J45" s="5">
        <f t="shared" si="29"/>
        <v>1.9900055292455259E-3</v>
      </c>
      <c r="K45" s="1"/>
      <c r="L45" s="1">
        <f t="shared" si="30"/>
        <v>-17.500000000000007</v>
      </c>
      <c r="M45" s="1"/>
      <c r="N45" s="5">
        <f t="shared" si="31"/>
        <v>-0.22990015764582247</v>
      </c>
      <c r="O45" s="14"/>
      <c r="P45" s="1">
        <f>SUM(OSRRefP22_4x_0)</f>
        <v>902.31</v>
      </c>
      <c r="Q45" s="1"/>
      <c r="R45" s="5">
        <f t="shared" si="32"/>
        <v>1.4040825712404196E-4</v>
      </c>
      <c r="S45" s="1"/>
      <c r="T45" s="1">
        <f>SUM(OSRRefT22_4x_0)</f>
        <v>111.32</v>
      </c>
      <c r="U45" s="1"/>
      <c r="V45" s="5">
        <f t="shared" si="33"/>
        <v>1.6497937513276192E-4</v>
      </c>
      <c r="W45" s="1"/>
      <c r="X45" s="1">
        <f t="shared" si="34"/>
        <v>790.99</v>
      </c>
      <c r="Y45" s="1"/>
      <c r="Z45" s="5">
        <f t="shared" si="35"/>
        <v>7.1055515630614448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58.62</v>
      </c>
      <c r="E46" s="2"/>
      <c r="F46" s="6">
        <f t="shared" si="28"/>
        <v>9.2550807780513689E-5</v>
      </c>
      <c r="G46" s="2"/>
      <c r="H46" s="7">
        <v>76.12</v>
      </c>
      <c r="I46" s="2"/>
      <c r="J46" s="6">
        <f t="shared" si="29"/>
        <v>1.9900055292455259E-3</v>
      </c>
      <c r="K46" s="2"/>
      <c r="L46" s="7">
        <f t="shared" si="30"/>
        <v>-17.500000000000007</v>
      </c>
      <c r="M46" s="2"/>
      <c r="N46" s="6">
        <f t="shared" si="31"/>
        <v>-0.22990015764582247</v>
      </c>
      <c r="O46" s="11"/>
      <c r="P46" s="7">
        <v>902.31</v>
      </c>
      <c r="Q46" s="2"/>
      <c r="R46" s="6">
        <f t="shared" si="32"/>
        <v>1.4040825712404196E-4</v>
      </c>
      <c r="S46" s="2"/>
      <c r="T46" s="7">
        <v>111.32</v>
      </c>
      <c r="U46" s="2"/>
      <c r="V46" s="6">
        <f t="shared" si="33"/>
        <v>1.6497937513276192E-4</v>
      </c>
      <c r="W46" s="2"/>
      <c r="X46" s="7">
        <f t="shared" si="34"/>
        <v>790.99</v>
      </c>
      <c r="Y46" s="2"/>
      <c r="Z46" s="6">
        <f t="shared" si="35"/>
        <v>7.1055515630614448</v>
      </c>
    </row>
    <row r="47" spans="1:26" s="29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1.1999712716735181E-3</v>
      </c>
      <c r="G47" s="1"/>
      <c r="H47" s="1">
        <f>SUM(OSRRefH22_5x_0)</f>
        <v>758.5</v>
      </c>
      <c r="I47" s="1"/>
      <c r="J47" s="5">
        <f t="shared" si="29"/>
        <v>1.9829469179358006E-2</v>
      </c>
      <c r="K47" s="1"/>
      <c r="L47" s="1">
        <f t="shared" si="30"/>
        <v>1.5399999999999636</v>
      </c>
      <c r="M47" s="1"/>
      <c r="N47" s="5">
        <f t="shared" si="31"/>
        <v>2.0303230059327141E-3</v>
      </c>
      <c r="O47" s="14"/>
      <c r="P47" s="1">
        <f>SUM(OSRRefP22_5x_0)</f>
        <v>5320.28</v>
      </c>
      <c r="Q47" s="1"/>
      <c r="R47" s="5">
        <f t="shared" si="32"/>
        <v>8.2788757989149845E-4</v>
      </c>
      <c r="S47" s="1"/>
      <c r="T47" s="1">
        <f>SUM(OSRRefT22_5x_0)</f>
        <v>4781.0600000000004</v>
      </c>
      <c r="U47" s="1"/>
      <c r="V47" s="5">
        <f t="shared" si="33"/>
        <v>7.0856655701782506E-3</v>
      </c>
      <c r="W47" s="1"/>
      <c r="X47" s="1">
        <f t="shared" si="34"/>
        <v>539.21999999999935</v>
      </c>
      <c r="Y47" s="1"/>
      <c r="Z47" s="5">
        <f t="shared" si="35"/>
        <v>0.11278252103090095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760.04</v>
      </c>
      <c r="E48" s="2"/>
      <c r="F48" s="6">
        <f t="shared" si="28"/>
        <v>1.1999712716735181E-3</v>
      </c>
      <c r="G48" s="2"/>
      <c r="H48" s="7">
        <v>758.5</v>
      </c>
      <c r="I48" s="2"/>
      <c r="J48" s="6">
        <f t="shared" si="29"/>
        <v>1.9829469179358006E-2</v>
      </c>
      <c r="K48" s="2"/>
      <c r="L48" s="7">
        <f t="shared" si="30"/>
        <v>1.5399999999999636</v>
      </c>
      <c r="M48" s="2"/>
      <c r="N48" s="6">
        <f t="shared" si="31"/>
        <v>2.0303230059327141E-3</v>
      </c>
      <c r="O48" s="11"/>
      <c r="P48" s="7">
        <v>5320.28</v>
      </c>
      <c r="Q48" s="2"/>
      <c r="R48" s="6">
        <f t="shared" si="32"/>
        <v>8.2788757989149845E-4</v>
      </c>
      <c r="S48" s="2"/>
      <c r="T48" s="7">
        <v>4781.0600000000004</v>
      </c>
      <c r="U48" s="2"/>
      <c r="V48" s="6">
        <f t="shared" si="33"/>
        <v>7.0856655701782506E-3</v>
      </c>
      <c r="W48" s="2"/>
      <c r="X48" s="7">
        <f t="shared" si="34"/>
        <v>539.21999999999935</v>
      </c>
      <c r="Y48" s="2"/>
      <c r="Z48" s="6">
        <f t="shared" si="35"/>
        <v>0.11278252103090095</v>
      </c>
    </row>
    <row r="49" spans="1:26" s="29" customFormat="1" outlineLevel="1" collapsed="1" x14ac:dyDescent="0.3">
      <c r="A49" s="28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4031.65</v>
      </c>
      <c r="E49" s="1"/>
      <c r="F49" s="5">
        <f t="shared" si="28"/>
        <v>6.3652757452799056E-3</v>
      </c>
      <c r="G49" s="1"/>
      <c r="H49" s="1">
        <f>SUM(OSRRefH22_6x_0)</f>
        <v>1459.14</v>
      </c>
      <c r="I49" s="1"/>
      <c r="J49" s="5">
        <f t="shared" si="29"/>
        <v>3.8146304098046729E-2</v>
      </c>
      <c r="K49" s="1"/>
      <c r="L49" s="1">
        <f t="shared" si="30"/>
        <v>2572.5100000000002</v>
      </c>
      <c r="M49" s="1"/>
      <c r="N49" s="5">
        <f t="shared" si="31"/>
        <v>1.763031648779418</v>
      </c>
      <c r="O49" s="14"/>
      <c r="P49" s="1">
        <f>SUM(OSRRefP22_6x_0)</f>
        <v>40626.65</v>
      </c>
      <c r="Q49" s="1"/>
      <c r="R49" s="5">
        <f t="shared" si="32"/>
        <v>6.3219039125006482E-3</v>
      </c>
      <c r="S49" s="1"/>
      <c r="T49" s="1">
        <f>SUM(OSRRefT22_6x_0)</f>
        <v>38281.15</v>
      </c>
      <c r="U49" s="1"/>
      <c r="V49" s="5">
        <f t="shared" si="33"/>
        <v>5.6733742421519309E-2</v>
      </c>
      <c r="W49" s="1"/>
      <c r="X49" s="1">
        <f t="shared" si="34"/>
        <v>2345.5</v>
      </c>
      <c r="Y49" s="1"/>
      <c r="Z49" s="5">
        <f t="shared" si="35"/>
        <v>6.127036413482876E-2</v>
      </c>
    </row>
    <row r="50" spans="1:26" s="24" customFormat="1" hidden="1" outlineLevel="2" x14ac:dyDescent="0.3">
      <c r="A50" s="27"/>
      <c r="B50" s="11" t="str">
        <f>CONCATENATE("          ", "6399", " - ", "DONATION-ON CAMPUS")</f>
        <v xml:space="preserve">          6399 - DONATION-ON CAMPUS</v>
      </c>
      <c r="C50" s="11"/>
      <c r="D50" s="7">
        <v>4031.65</v>
      </c>
      <c r="E50" s="2"/>
      <c r="F50" s="6">
        <f t="shared" si="28"/>
        <v>6.3652757452799056E-3</v>
      </c>
      <c r="G50" s="2"/>
      <c r="H50" s="7">
        <v>1459.14</v>
      </c>
      <c r="I50" s="2"/>
      <c r="J50" s="6">
        <f t="shared" si="29"/>
        <v>3.8146304098046729E-2</v>
      </c>
      <c r="K50" s="2"/>
      <c r="L50" s="7">
        <f t="shared" si="30"/>
        <v>2572.5100000000002</v>
      </c>
      <c r="M50" s="2"/>
      <c r="N50" s="6">
        <f t="shared" si="31"/>
        <v>1.763031648779418</v>
      </c>
      <c r="O50" s="11"/>
      <c r="P50" s="7">
        <v>40626.65</v>
      </c>
      <c r="Q50" s="2"/>
      <c r="R50" s="6">
        <f t="shared" si="32"/>
        <v>6.3219039125006482E-3</v>
      </c>
      <c r="S50" s="2"/>
      <c r="T50" s="7">
        <v>38281.15</v>
      </c>
      <c r="U50" s="2"/>
      <c r="V50" s="6">
        <f t="shared" si="33"/>
        <v>5.6733742421519309E-2</v>
      </c>
      <c r="W50" s="2"/>
      <c r="X50" s="7">
        <f t="shared" si="34"/>
        <v>2345.5</v>
      </c>
      <c r="Y50" s="2"/>
      <c r="Z50" s="6">
        <f t="shared" si="35"/>
        <v>6.127036413482876E-2</v>
      </c>
    </row>
    <row r="51" spans="1:26" s="29" customFormat="1" outlineLevel="1" collapsed="1" x14ac:dyDescent="0.3">
      <c r="A51" s="28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75.98</v>
      </c>
      <c r="E51" s="1"/>
      <c r="F51" s="5">
        <f t="shared" si="28"/>
        <v>1.1995923533202715E-4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75.98</v>
      </c>
      <c r="M51" s="1"/>
      <c r="N51" s="5">
        <f t="shared" si="31"/>
        <v>0</v>
      </c>
      <c r="O51" s="14"/>
      <c r="P51" s="1">
        <f>SUM(OSRRefP22_7x_0)</f>
        <v>238.34</v>
      </c>
      <c r="Q51" s="1"/>
      <c r="R51" s="5">
        <f t="shared" si="32"/>
        <v>3.7088034049211646E-5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238.34</v>
      </c>
      <c r="Y51" s="1"/>
      <c r="Z51" s="5">
        <f t="shared" si="35"/>
        <v>0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7">
        <v>75.98</v>
      </c>
      <c r="E52" s="2"/>
      <c r="F52" s="6">
        <f t="shared" si="28"/>
        <v>1.1995923533202715E-4</v>
      </c>
      <c r="G52" s="2"/>
      <c r="H52" s="7"/>
      <c r="I52" s="2"/>
      <c r="J52" s="6">
        <f t="shared" si="29"/>
        <v>0</v>
      </c>
      <c r="K52" s="2"/>
      <c r="L52" s="7">
        <f t="shared" si="30"/>
        <v>75.98</v>
      </c>
      <c r="M52" s="2"/>
      <c r="N52" s="6">
        <f t="shared" si="31"/>
        <v>0</v>
      </c>
      <c r="O52" s="11"/>
      <c r="P52" s="7">
        <v>238.34</v>
      </c>
      <c r="Q52" s="2"/>
      <c r="R52" s="6">
        <f t="shared" si="32"/>
        <v>3.7088034049211646E-5</v>
      </c>
      <c r="S52" s="2"/>
      <c r="T52" s="7"/>
      <c r="U52" s="2"/>
      <c r="V52" s="6">
        <f t="shared" si="33"/>
        <v>0</v>
      </c>
      <c r="W52" s="2"/>
      <c r="X52" s="7">
        <f t="shared" si="34"/>
        <v>238.34</v>
      </c>
      <c r="Y52" s="2"/>
      <c r="Z52" s="6">
        <f t="shared" si="35"/>
        <v>0</v>
      </c>
    </row>
    <row r="53" spans="1:26" s="29" customFormat="1" outlineLevel="1" collapsed="1" x14ac:dyDescent="0.3">
      <c r="A53" s="28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393.42</v>
      </c>
      <c r="E53" s="1"/>
      <c r="F53" s="5">
        <f t="shared" si="28"/>
        <v>6.211419105597015E-4</v>
      </c>
      <c r="G53" s="1"/>
      <c r="H53" s="1">
        <f>SUM(OSRRefH22_8x_0)</f>
        <v>353.49</v>
      </c>
      <c r="I53" s="1"/>
      <c r="J53" s="5">
        <f t="shared" si="29"/>
        <v>9.2412907847215058E-3</v>
      </c>
      <c r="K53" s="1"/>
      <c r="L53" s="1">
        <f t="shared" si="30"/>
        <v>39.930000000000007</v>
      </c>
      <c r="M53" s="1"/>
      <c r="N53" s="5">
        <f t="shared" si="31"/>
        <v>0.11295934821352797</v>
      </c>
      <c r="O53" s="14"/>
      <c r="P53" s="1">
        <f>SUM(OSRRefP22_8x_0)</f>
        <v>8658.1299999999992</v>
      </c>
      <c r="Q53" s="1"/>
      <c r="R53" s="5">
        <f t="shared" si="32"/>
        <v>1.3472896712364724E-3</v>
      </c>
      <c r="S53" s="1"/>
      <c r="T53" s="1">
        <f>SUM(OSRRefT22_8x_0)</f>
        <v>3281.02</v>
      </c>
      <c r="U53" s="1"/>
      <c r="V53" s="5">
        <f t="shared" si="33"/>
        <v>4.8625640441797933E-3</v>
      </c>
      <c r="W53" s="1"/>
      <c r="X53" s="1">
        <f t="shared" si="34"/>
        <v>5377.1099999999988</v>
      </c>
      <c r="Y53" s="1"/>
      <c r="Z53" s="5">
        <f t="shared" si="35"/>
        <v>1.6388531615168449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393.42</v>
      </c>
      <c r="E54" s="2"/>
      <c r="F54" s="6">
        <f t="shared" si="28"/>
        <v>6.211419105597015E-4</v>
      </c>
      <c r="G54" s="2"/>
      <c r="H54" s="7">
        <v>353.49</v>
      </c>
      <c r="I54" s="2"/>
      <c r="J54" s="6">
        <f t="shared" si="29"/>
        <v>9.2412907847215058E-3</v>
      </c>
      <c r="K54" s="2"/>
      <c r="L54" s="7">
        <f t="shared" si="30"/>
        <v>39.930000000000007</v>
      </c>
      <c r="M54" s="2"/>
      <c r="N54" s="6">
        <f t="shared" si="31"/>
        <v>0.11295934821352797</v>
      </c>
      <c r="O54" s="11"/>
      <c r="P54" s="7">
        <v>8658.1299999999992</v>
      </c>
      <c r="Q54" s="2"/>
      <c r="R54" s="6">
        <f t="shared" si="32"/>
        <v>1.3472896712364724E-3</v>
      </c>
      <c r="S54" s="2"/>
      <c r="T54" s="7">
        <v>3281.02</v>
      </c>
      <c r="U54" s="2"/>
      <c r="V54" s="6">
        <f t="shared" si="33"/>
        <v>4.8625640441797933E-3</v>
      </c>
      <c r="W54" s="2"/>
      <c r="X54" s="7">
        <f t="shared" si="34"/>
        <v>5377.1099999999988</v>
      </c>
      <c r="Y54" s="2"/>
      <c r="Z54" s="6">
        <f t="shared" si="35"/>
        <v>1.6388531615168449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755.5</v>
      </c>
      <c r="E55" s="1"/>
      <c r="F55" s="5">
        <f t="shared" si="28"/>
        <v>1.1928033994912674E-3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755.5</v>
      </c>
      <c r="M55" s="1"/>
      <c r="N55" s="5">
        <f t="shared" si="31"/>
        <v>0</v>
      </c>
      <c r="O55" s="14"/>
      <c r="P55" s="1">
        <f>SUM(OSRRefP22_9x_0)</f>
        <v>11928.21</v>
      </c>
      <c r="Q55" s="1"/>
      <c r="R55" s="5">
        <f t="shared" si="32"/>
        <v>1.8561460880512999E-3</v>
      </c>
      <c r="S55" s="1"/>
      <c r="T55" s="1">
        <f>SUM(OSRRefT22_9x_0)</f>
        <v>7158.43</v>
      </c>
      <c r="U55" s="1"/>
      <c r="V55" s="5">
        <f t="shared" si="33"/>
        <v>1.0608994864639032E-2</v>
      </c>
      <c r="W55" s="1"/>
      <c r="X55" s="1">
        <f t="shared" si="34"/>
        <v>4769.7799999999988</v>
      </c>
      <c r="Y55" s="1"/>
      <c r="Z55" s="5">
        <f t="shared" si="35"/>
        <v>0.66631649677373372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7">
        <v>755.5</v>
      </c>
      <c r="E56" s="2"/>
      <c r="F56" s="6">
        <f t="shared" si="28"/>
        <v>1.1928033994912674E-3</v>
      </c>
      <c r="G56" s="2"/>
      <c r="H56" s="7"/>
      <c r="I56" s="2"/>
      <c r="J56" s="6">
        <f t="shared" si="29"/>
        <v>0</v>
      </c>
      <c r="K56" s="2"/>
      <c r="L56" s="7">
        <f t="shared" si="30"/>
        <v>755.5</v>
      </c>
      <c r="M56" s="2"/>
      <c r="N56" s="6">
        <f t="shared" si="31"/>
        <v>0</v>
      </c>
      <c r="O56" s="11"/>
      <c r="P56" s="7">
        <v>11928.21</v>
      </c>
      <c r="Q56" s="2"/>
      <c r="R56" s="6">
        <f t="shared" si="32"/>
        <v>1.8561460880512999E-3</v>
      </c>
      <c r="S56" s="2"/>
      <c r="T56" s="7">
        <v>7158.43</v>
      </c>
      <c r="U56" s="2"/>
      <c r="V56" s="6">
        <f t="shared" si="33"/>
        <v>1.0608994864639032E-2</v>
      </c>
      <c r="W56" s="2"/>
      <c r="X56" s="7">
        <f t="shared" si="34"/>
        <v>4769.7799999999988</v>
      </c>
      <c r="Y56" s="2"/>
      <c r="Z56" s="6">
        <f t="shared" si="35"/>
        <v>0.66631649677373372</v>
      </c>
    </row>
    <row r="57" spans="1:26" s="29" customFormat="1" outlineLevel="1" collapsed="1" x14ac:dyDescent="0.3">
      <c r="A57" s="28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5.21</v>
      </c>
      <c r="E57" s="1"/>
      <c r="F57" s="5">
        <f t="shared" si="28"/>
        <v>8.2256859183977538E-6</v>
      </c>
      <c r="G57" s="1"/>
      <c r="H57" s="1">
        <f>SUM(OSRRefH22_10x_0)</f>
        <v>5.9</v>
      </c>
      <c r="I57" s="1"/>
      <c r="J57" s="5">
        <f t="shared" si="29"/>
        <v>1.5424372861992384E-4</v>
      </c>
      <c r="K57" s="1"/>
      <c r="L57" s="1">
        <f t="shared" si="30"/>
        <v>-0.69000000000000039</v>
      </c>
      <c r="M57" s="1"/>
      <c r="N57" s="5">
        <f t="shared" si="31"/>
        <v>-0.11694915254237294</v>
      </c>
      <c r="O57" s="14"/>
      <c r="P57" s="1">
        <f>SUM(OSRRefP22_10x_0)</f>
        <v>36.479999999999997</v>
      </c>
      <c r="Q57" s="1"/>
      <c r="R57" s="5">
        <f t="shared" si="32"/>
        <v>5.6766446342000538E-6</v>
      </c>
      <c r="S57" s="1"/>
      <c r="T57" s="1">
        <f>SUM(OSRRefT22_10x_0)</f>
        <v>41.3</v>
      </c>
      <c r="U57" s="1"/>
      <c r="V57" s="5">
        <f t="shared" si="33"/>
        <v>6.1207763142140381E-5</v>
      </c>
      <c r="W57" s="1"/>
      <c r="X57" s="1">
        <f t="shared" si="34"/>
        <v>-4.82</v>
      </c>
      <c r="Y57" s="1"/>
      <c r="Z57" s="5">
        <f t="shared" si="35"/>
        <v>-0.11670702179176758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7">
        <v>5.21</v>
      </c>
      <c r="E58" s="2"/>
      <c r="F58" s="6">
        <f t="shared" si="28"/>
        <v>8.2256859183977538E-6</v>
      </c>
      <c r="G58" s="2"/>
      <c r="H58" s="7">
        <v>5.9</v>
      </c>
      <c r="I58" s="2"/>
      <c r="J58" s="6">
        <f t="shared" si="29"/>
        <v>1.5424372861992384E-4</v>
      </c>
      <c r="K58" s="2"/>
      <c r="L58" s="7">
        <f t="shared" si="30"/>
        <v>-0.69000000000000039</v>
      </c>
      <c r="M58" s="2"/>
      <c r="N58" s="6">
        <f t="shared" si="31"/>
        <v>-0.11694915254237294</v>
      </c>
      <c r="O58" s="11"/>
      <c r="P58" s="7">
        <v>36.479999999999997</v>
      </c>
      <c r="Q58" s="2"/>
      <c r="R58" s="6">
        <f t="shared" si="32"/>
        <v>5.6766446342000538E-6</v>
      </c>
      <c r="S58" s="2"/>
      <c r="T58" s="7">
        <v>41.3</v>
      </c>
      <c r="U58" s="2"/>
      <c r="V58" s="6">
        <f t="shared" si="33"/>
        <v>6.1207763142140381E-5</v>
      </c>
      <c r="W58" s="2"/>
      <c r="X58" s="7">
        <f t="shared" si="34"/>
        <v>-4.82</v>
      </c>
      <c r="Y58" s="2"/>
      <c r="Z58" s="6">
        <f t="shared" si="35"/>
        <v>-0.11670702179176758</v>
      </c>
    </row>
    <row r="59" spans="1:26" s="29" customFormat="1" outlineLevel="1" collapsed="1" x14ac:dyDescent="0.3">
      <c r="A59" s="28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49958.66</v>
      </c>
      <c r="E59" s="1"/>
      <c r="F59" s="5">
        <f t="shared" si="28"/>
        <v>7.8876054906721921E-2</v>
      </c>
      <c r="G59" s="1"/>
      <c r="H59" s="1">
        <f>SUM(OSRRefH22_11x_0)</f>
        <v>-29103.13</v>
      </c>
      <c r="I59" s="1"/>
      <c r="J59" s="5">
        <f t="shared" si="29"/>
        <v>-0.76084326876446851</v>
      </c>
      <c r="K59" s="1"/>
      <c r="L59" s="1">
        <f t="shared" si="30"/>
        <v>79061.790000000008</v>
      </c>
      <c r="M59" s="1"/>
      <c r="N59" s="5">
        <f t="shared" si="31"/>
        <v>-2.7166078012914765</v>
      </c>
      <c r="O59" s="14"/>
      <c r="P59" s="1">
        <f>SUM(OSRRefP22_11x_0)</f>
        <v>499627.4</v>
      </c>
      <c r="Q59" s="1"/>
      <c r="R59" s="5">
        <f t="shared" si="32"/>
        <v>7.774690787580385E-2</v>
      </c>
      <c r="S59" s="1"/>
      <c r="T59" s="1">
        <f>SUM(OSRRefT22_11x_0)</f>
        <v>45913.36</v>
      </c>
      <c r="U59" s="1"/>
      <c r="V59" s="5">
        <f t="shared" si="33"/>
        <v>6.804489258934196E-2</v>
      </c>
      <c r="W59" s="1"/>
      <c r="X59" s="1">
        <f t="shared" si="34"/>
        <v>453714.04000000004</v>
      </c>
      <c r="Y59" s="1"/>
      <c r="Z59" s="5">
        <f t="shared" si="35"/>
        <v>9.8819611546617381</v>
      </c>
    </row>
    <row r="60" spans="1:26" s="24" customFormat="1" hidden="1" outlineLevel="2" x14ac:dyDescent="0.3">
      <c r="A60" s="27"/>
      <c r="B60" s="11" t="str">
        <f>CONCATENATE("          ", "6387", " - ", "COMMISSION DUE HOUSING")</f>
        <v xml:space="preserve">          6387 - COMMISSION DUE HOUSING</v>
      </c>
      <c r="C60" s="11"/>
      <c r="D60" s="7">
        <v>49958.66</v>
      </c>
      <c r="E60" s="2"/>
      <c r="F60" s="6">
        <f t="shared" si="28"/>
        <v>7.8876054906721921E-2</v>
      </c>
      <c r="G60" s="2"/>
      <c r="H60" s="7">
        <v>-29103.13</v>
      </c>
      <c r="I60" s="2"/>
      <c r="J60" s="6">
        <f t="shared" si="29"/>
        <v>-0.76084326876446851</v>
      </c>
      <c r="K60" s="2"/>
      <c r="L60" s="7">
        <f t="shared" si="30"/>
        <v>79061.790000000008</v>
      </c>
      <c r="M60" s="2"/>
      <c r="N60" s="6">
        <f t="shared" si="31"/>
        <v>-2.7166078012914765</v>
      </c>
      <c r="O60" s="11"/>
      <c r="P60" s="7">
        <v>499627.4</v>
      </c>
      <c r="Q60" s="2"/>
      <c r="R60" s="6">
        <f t="shared" si="32"/>
        <v>7.774690787580385E-2</v>
      </c>
      <c r="S60" s="2"/>
      <c r="T60" s="7">
        <v>45913.36</v>
      </c>
      <c r="U60" s="2"/>
      <c r="V60" s="6">
        <f t="shared" si="33"/>
        <v>6.804489258934196E-2</v>
      </c>
      <c r="W60" s="2"/>
      <c r="X60" s="7">
        <f t="shared" si="34"/>
        <v>453714.04000000004</v>
      </c>
      <c r="Y60" s="2"/>
      <c r="Z60" s="6">
        <f t="shared" si="35"/>
        <v>9.8819611546617381</v>
      </c>
    </row>
    <row r="61" spans="1:26" s="29" customFormat="1" outlineLevel="1" collapsed="1" x14ac:dyDescent="0.3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3662.85</v>
      </c>
      <c r="E61" s="1"/>
      <c r="F61" s="5">
        <f t="shared" si="28"/>
        <v>5.783004542457431E-3</v>
      </c>
      <c r="G61" s="1"/>
      <c r="H61" s="1">
        <f>SUM(OSRRefH22_12x_0)</f>
        <v>3524.94</v>
      </c>
      <c r="I61" s="1"/>
      <c r="J61" s="5">
        <f t="shared" si="29"/>
        <v>9.2152523518900742E-2</v>
      </c>
      <c r="K61" s="1"/>
      <c r="L61" s="1">
        <f t="shared" si="30"/>
        <v>137.90999999999985</v>
      </c>
      <c r="M61" s="1"/>
      <c r="N61" s="5">
        <f t="shared" si="31"/>
        <v>3.9124070196939482E-2</v>
      </c>
      <c r="O61" s="14"/>
      <c r="P61" s="1">
        <f>SUM(OSRRefP22_12x_0)</f>
        <v>30157.620000000003</v>
      </c>
      <c r="Q61" s="1"/>
      <c r="R61" s="5">
        <f t="shared" si="32"/>
        <v>4.6928204976218269E-3</v>
      </c>
      <c r="S61" s="1"/>
      <c r="T61" s="1">
        <f>SUM(OSRRefT22_12x_0)</f>
        <v>11671.73</v>
      </c>
      <c r="U61" s="1"/>
      <c r="V61" s="5">
        <f t="shared" si="33"/>
        <v>1.729783257382601E-2</v>
      </c>
      <c r="W61" s="1"/>
      <c r="X61" s="1">
        <f t="shared" si="34"/>
        <v>18485.890000000003</v>
      </c>
      <c r="Y61" s="1"/>
      <c r="Z61" s="5">
        <f t="shared" si="35"/>
        <v>1.5838174803563827</v>
      </c>
    </row>
    <row r="62" spans="1:26" s="24" customFormat="1" hidden="1" outlineLevel="2" x14ac:dyDescent="0.3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3500</v>
      </c>
      <c r="E62" s="2"/>
      <c r="F62" s="6">
        <f t="shared" si="28"/>
        <v>5.5258926515148066E-3</v>
      </c>
      <c r="G62" s="2"/>
      <c r="H62" s="7">
        <v>3500</v>
      </c>
      <c r="I62" s="2"/>
      <c r="J62" s="6">
        <f t="shared" si="29"/>
        <v>9.1500516977920915E-2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24500</v>
      </c>
      <c r="Q62" s="2"/>
      <c r="R62" s="6">
        <f t="shared" si="32"/>
        <v>3.8124395158415933E-3</v>
      </c>
      <c r="S62" s="2"/>
      <c r="T62" s="7">
        <v>7000</v>
      </c>
      <c r="U62" s="2"/>
      <c r="V62" s="6">
        <f t="shared" si="33"/>
        <v>1.0374197142735658E-2</v>
      </c>
      <c r="W62" s="2"/>
      <c r="X62" s="7">
        <f t="shared" si="34"/>
        <v>17500</v>
      </c>
      <c r="Y62" s="2"/>
      <c r="Z62" s="6">
        <f t="shared" si="35"/>
        <v>2.5</v>
      </c>
    </row>
    <row r="63" spans="1:26" s="24" customFormat="1" hidden="1" outlineLevel="2" x14ac:dyDescent="0.3">
      <c r="A63" s="27"/>
      <c r="B63" s="11" t="str">
        <f>CONCATENATE("          ", "6373", " - ", "MAINTENANCE CONTRACTS")</f>
        <v xml:space="preserve">          6373 - MAINTENANCE CONTRACTS</v>
      </c>
      <c r="C63" s="11"/>
      <c r="D63" s="7">
        <v>5.35</v>
      </c>
      <c r="E63" s="2"/>
      <c r="F63" s="6">
        <f t="shared" si="28"/>
        <v>8.4467216244583461E-6</v>
      </c>
      <c r="G63" s="2"/>
      <c r="H63" s="7">
        <v>5.94</v>
      </c>
      <c r="I63" s="2"/>
      <c r="J63" s="6">
        <f t="shared" si="29"/>
        <v>1.5528944881395724E-4</v>
      </c>
      <c r="K63" s="2"/>
      <c r="L63" s="7">
        <f t="shared" si="30"/>
        <v>-0.59000000000000075</v>
      </c>
      <c r="M63" s="2"/>
      <c r="N63" s="6">
        <f t="shared" si="31"/>
        <v>-9.9326599326599443E-2</v>
      </c>
      <c r="O63" s="11"/>
      <c r="P63" s="7">
        <v>610.74</v>
      </c>
      <c r="Q63" s="2"/>
      <c r="R63" s="6">
        <f t="shared" si="32"/>
        <v>9.5037114690003864E-5</v>
      </c>
      <c r="S63" s="2"/>
      <c r="T63" s="7">
        <v>2975.91</v>
      </c>
      <c r="U63" s="2"/>
      <c r="V63" s="6">
        <f t="shared" si="33"/>
        <v>4.4103824312912102E-3</v>
      </c>
      <c r="W63" s="2"/>
      <c r="X63" s="7">
        <f t="shared" si="34"/>
        <v>-2365.17</v>
      </c>
      <c r="Y63" s="2"/>
      <c r="Z63" s="6">
        <f t="shared" si="35"/>
        <v>-0.79477201931510033</v>
      </c>
    </row>
    <row r="64" spans="1:26" s="24" customFormat="1" hidden="1" outlineLevel="2" x14ac:dyDescent="0.3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157.5</v>
      </c>
      <c r="E64" s="2"/>
      <c r="F64" s="6">
        <f t="shared" si="28"/>
        <v>2.4866516931816628E-4</v>
      </c>
      <c r="G64" s="2"/>
      <c r="H64" s="7">
        <v>19</v>
      </c>
      <c r="I64" s="2"/>
      <c r="J64" s="6">
        <f t="shared" si="29"/>
        <v>4.9671709216585647E-4</v>
      </c>
      <c r="K64" s="2"/>
      <c r="L64" s="7">
        <f t="shared" si="30"/>
        <v>138.5</v>
      </c>
      <c r="M64" s="2"/>
      <c r="N64" s="6">
        <f t="shared" si="31"/>
        <v>7.2894736842105265</v>
      </c>
      <c r="O64" s="11"/>
      <c r="P64" s="7">
        <v>5046.88</v>
      </c>
      <c r="Q64" s="2"/>
      <c r="R64" s="6">
        <f t="shared" si="32"/>
        <v>7.8534386709022946E-4</v>
      </c>
      <c r="S64" s="2"/>
      <c r="T64" s="7">
        <v>1695.82</v>
      </c>
      <c r="U64" s="2"/>
      <c r="V64" s="6">
        <f t="shared" si="33"/>
        <v>2.5132529997991407E-3</v>
      </c>
      <c r="W64" s="2"/>
      <c r="X64" s="7">
        <f t="shared" si="34"/>
        <v>3351.0600000000004</v>
      </c>
      <c r="Y64" s="2"/>
      <c r="Z64" s="6">
        <f t="shared" si="35"/>
        <v>1.9760705735278512</v>
      </c>
    </row>
    <row r="65" spans="1:26" s="29" customFormat="1" outlineLevel="1" collapsed="1" x14ac:dyDescent="0.3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17762.11</v>
      </c>
      <c r="E65" s="1"/>
      <c r="F65" s="5">
        <f t="shared" ref="F65:F69" si="36">IF(D$12=0,0,D65/D$12)</f>
        <v>2.8043289464113618E-2</v>
      </c>
      <c r="G65" s="1"/>
      <c r="H65" s="1">
        <f>SUM(OSRRefH22_13x_0)</f>
        <v>13280.949999999999</v>
      </c>
      <c r="I65" s="1"/>
      <c r="J65" s="5">
        <f t="shared" ref="J65:J69" si="37">IF(H$12=0,0,H65/H$12)</f>
        <v>0.34720394027369106</v>
      </c>
      <c r="K65" s="1"/>
      <c r="L65" s="1">
        <f t="shared" ref="L65:L69" si="38">+D65-H65</f>
        <v>4481.1600000000017</v>
      </c>
      <c r="M65" s="1"/>
      <c r="N65" s="5">
        <f t="shared" ref="N65:N69" si="39">IF(H65=0,0,L65/H65)</f>
        <v>0.33741260979071541</v>
      </c>
      <c r="O65" s="14"/>
      <c r="P65" s="1">
        <f>SUM(OSRRefP22_13x_0)</f>
        <v>115029.53</v>
      </c>
      <c r="Q65" s="1"/>
      <c r="R65" s="5">
        <f t="shared" ref="R65:R69" si="40">IF(P$12=0,0,P65/P$12)</f>
        <v>1.789971941472188E-2</v>
      </c>
      <c r="S65" s="1"/>
      <c r="T65" s="1">
        <f>SUM(OSRRefT22_13x_0)</f>
        <v>78806.94</v>
      </c>
      <c r="U65" s="1"/>
      <c r="V65" s="5">
        <f t="shared" ref="V65:V69" si="41">IF(T$12=0,0,T65/T$12)</f>
        <v>0.1167941045393915</v>
      </c>
      <c r="W65" s="1"/>
      <c r="X65" s="1">
        <f t="shared" ref="X65:X69" si="42">+P65-T65</f>
        <v>36222.589999999997</v>
      </c>
      <c r="Y65" s="1"/>
      <c r="Z65" s="5">
        <f t="shared" ref="Z65:Z69" si="43">IF(T65=0,0,X65/T65)</f>
        <v>0.45963705734545707</v>
      </c>
    </row>
    <row r="66" spans="1:26" s="24" customFormat="1" hidden="1" outlineLevel="2" x14ac:dyDescent="0.3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914.2</v>
      </c>
      <c r="E66" s="2"/>
      <c r="F66" s="6">
        <f t="shared" si="36"/>
        <v>1.4433631605756674E-3</v>
      </c>
      <c r="G66" s="2"/>
      <c r="H66" s="7">
        <v>3610.45</v>
      </c>
      <c r="I66" s="2"/>
      <c r="J66" s="6">
        <f t="shared" si="37"/>
        <v>9.4388011863695595E-2</v>
      </c>
      <c r="K66" s="2"/>
      <c r="L66" s="7">
        <f t="shared" si="38"/>
        <v>-2696.25</v>
      </c>
      <c r="M66" s="2"/>
      <c r="N66" s="6">
        <f t="shared" si="39"/>
        <v>-0.7467905662729023</v>
      </c>
      <c r="O66" s="11"/>
      <c r="P66" s="7">
        <v>10766.02</v>
      </c>
      <c r="Q66" s="2"/>
      <c r="R66" s="6">
        <f t="shared" si="40"/>
        <v>1.6752979622996292E-3</v>
      </c>
      <c r="S66" s="2"/>
      <c r="T66" s="7">
        <v>9495.31</v>
      </c>
      <c r="U66" s="2"/>
      <c r="V66" s="6">
        <f t="shared" si="41"/>
        <v>1.4072316838769904E-2</v>
      </c>
      <c r="W66" s="2"/>
      <c r="X66" s="7">
        <f t="shared" si="42"/>
        <v>1270.7100000000009</v>
      </c>
      <c r="Y66" s="2"/>
      <c r="Z66" s="6">
        <f t="shared" si="43"/>
        <v>0.1338250146651348</v>
      </c>
    </row>
    <row r="67" spans="1:26" s="24" customFormat="1" hidden="1" outlineLevel="2" x14ac:dyDescent="0.3">
      <c r="A67" s="27"/>
      <c r="B67" s="11" t="str">
        <f>CONCATENATE("          ", "6284", " - ", "TRASH REMOVAL EXPENSE")</f>
        <v xml:space="preserve">          6284 - TRASH REMOVAL EXPENSE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/>
      <c r="Q67" s="2"/>
      <c r="R67" s="6">
        <f t="shared" si="40"/>
        <v>0</v>
      </c>
      <c r="S67" s="2"/>
      <c r="T67" s="7">
        <v>282.75</v>
      </c>
      <c r="U67" s="2"/>
      <c r="V67" s="6">
        <f t="shared" si="41"/>
        <v>4.190434631583582E-4</v>
      </c>
      <c r="W67" s="2"/>
      <c r="X67" s="7">
        <f t="shared" si="42"/>
        <v>-282.75</v>
      </c>
      <c r="Y67" s="2"/>
      <c r="Z67" s="6">
        <f t="shared" si="43"/>
        <v>-1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7">
        <v>14029.69</v>
      </c>
      <c r="E68" s="2"/>
      <c r="F68" s="6">
        <f t="shared" si="36"/>
        <v>2.2150445964008791E-2</v>
      </c>
      <c r="G68" s="2"/>
      <c r="H68" s="7">
        <v>8897.19</v>
      </c>
      <c r="I68" s="2"/>
      <c r="J68" s="6">
        <f t="shared" si="37"/>
        <v>0.23259928132879665</v>
      </c>
      <c r="K68" s="2"/>
      <c r="L68" s="7">
        <f t="shared" si="38"/>
        <v>5132.5</v>
      </c>
      <c r="M68" s="2"/>
      <c r="N68" s="6">
        <f t="shared" si="39"/>
        <v>0.57686752783744077</v>
      </c>
      <c r="O68" s="11"/>
      <c r="P68" s="7">
        <v>86777.87</v>
      </c>
      <c r="Q68" s="2"/>
      <c r="R68" s="6">
        <f t="shared" si="40"/>
        <v>1.3503484926063866E-2</v>
      </c>
      <c r="S68" s="2"/>
      <c r="T68" s="7">
        <v>58199.17</v>
      </c>
      <c r="U68" s="2"/>
      <c r="V68" s="6">
        <f t="shared" si="41"/>
        <v>8.6252809017655266E-2</v>
      </c>
      <c r="W68" s="2"/>
      <c r="X68" s="7">
        <f t="shared" si="42"/>
        <v>28578.699999999997</v>
      </c>
      <c r="Y68" s="2"/>
      <c r="Z68" s="6">
        <f t="shared" si="43"/>
        <v>0.49104995827260078</v>
      </c>
    </row>
    <row r="69" spans="1:26" s="24" customFormat="1" hidden="1" outlineLevel="2" x14ac:dyDescent="0.3">
      <c r="A69" s="27"/>
      <c r="B69" s="11" t="str">
        <f>CONCATENATE("          ", "6286", " - ", "LAUNDRY EXPENSE")</f>
        <v xml:space="preserve">          6286 - LAUNDRY EXPENSE</v>
      </c>
      <c r="C69" s="11"/>
      <c r="D69" s="7">
        <v>2818.22</v>
      </c>
      <c r="E69" s="2"/>
      <c r="F69" s="6">
        <f t="shared" si="36"/>
        <v>4.4494803395291587E-3</v>
      </c>
      <c r="G69" s="2"/>
      <c r="H69" s="7">
        <v>773.31</v>
      </c>
      <c r="I69" s="2"/>
      <c r="J69" s="6">
        <f t="shared" si="37"/>
        <v>2.0216647081198864E-2</v>
      </c>
      <c r="K69" s="2"/>
      <c r="L69" s="7">
        <f t="shared" si="38"/>
        <v>2044.9099999999999</v>
      </c>
      <c r="M69" s="2"/>
      <c r="N69" s="6">
        <f t="shared" si="39"/>
        <v>2.6443599591366982</v>
      </c>
      <c r="O69" s="11"/>
      <c r="P69" s="7">
        <v>17485.64</v>
      </c>
      <c r="Q69" s="2"/>
      <c r="R69" s="6">
        <f t="shared" si="40"/>
        <v>2.7209365263583837E-3</v>
      </c>
      <c r="S69" s="2"/>
      <c r="T69" s="7">
        <v>10829.71</v>
      </c>
      <c r="U69" s="2"/>
      <c r="V69" s="6">
        <f t="shared" si="41"/>
        <v>1.6049935219807968E-2</v>
      </c>
      <c r="W69" s="2"/>
      <c r="X69" s="7">
        <f t="shared" si="42"/>
        <v>6655.93</v>
      </c>
      <c r="Y69" s="2"/>
      <c r="Z69" s="6">
        <f t="shared" si="43"/>
        <v>0.61459909822146674</v>
      </c>
    </row>
    <row r="70" spans="1:26" s="29" customFormat="1" outlineLevel="1" collapsed="1" x14ac:dyDescent="0.3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SUM(OSRRefD22_14x_0)</f>
        <v>0</v>
      </c>
      <c r="E70" s="1"/>
      <c r="F70" s="5">
        <f t="shared" ref="F70:F80" si="44">IF(D$12=0,0,D70/D$12)</f>
        <v>0</v>
      </c>
      <c r="G70" s="1"/>
      <c r="H70" s="1">
        <f>SUM(OSRRefH22_14x_0)</f>
        <v>0</v>
      </c>
      <c r="I70" s="1"/>
      <c r="J70" s="5">
        <f t="shared" ref="J70:J80" si="45">IF(H$12=0,0,H70/H$12)</f>
        <v>0</v>
      </c>
      <c r="K70" s="1"/>
      <c r="L70" s="1">
        <f t="shared" ref="L70:L80" si="46">+D70-H70</f>
        <v>0</v>
      </c>
      <c r="M70" s="1"/>
      <c r="N70" s="5">
        <f t="shared" ref="N70:N80" si="47">IF(H70=0,0,L70/H70)</f>
        <v>0</v>
      </c>
      <c r="O70" s="14"/>
      <c r="P70" s="1">
        <f>SUM(OSRRefP22_14x_0)</f>
        <v>0</v>
      </c>
      <c r="Q70" s="1"/>
      <c r="R70" s="5">
        <f t="shared" ref="R70:R80" si="48">IF(P$12=0,0,P70/P$12)</f>
        <v>0</v>
      </c>
      <c r="S70" s="1"/>
      <c r="T70" s="1">
        <f>SUM(OSRRefT22_14x_0)</f>
        <v>795</v>
      </c>
      <c r="U70" s="1"/>
      <c r="V70" s="5">
        <f t="shared" ref="V70:V80" si="49">IF(T$12=0,0,T70/T$12)</f>
        <v>1.1782123897821212E-3</v>
      </c>
      <c r="W70" s="1"/>
      <c r="X70" s="1">
        <f t="shared" ref="X70:X80" si="50">+P70-T70</f>
        <v>-795</v>
      </c>
      <c r="Y70" s="1"/>
      <c r="Z70" s="5">
        <f t="shared" ref="Z70:Z80" si="51">IF(T70=0,0,X70/T70)</f>
        <v>-1</v>
      </c>
    </row>
    <row r="71" spans="1:26" s="24" customFormat="1" hidden="1" outlineLevel="2" x14ac:dyDescent="0.3">
      <c r="A71" s="27"/>
      <c r="B71" s="11" t="str">
        <f>CONCATENATE("          ", "6258", " - ", "MEMBERSHIP DUES")</f>
        <v xml:space="preserve">          6258 - MEMBERSHIP DUES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795</v>
      </c>
      <c r="U71" s="2"/>
      <c r="V71" s="6">
        <f t="shared" si="49"/>
        <v>1.1782123897821212E-3</v>
      </c>
      <c r="W71" s="2"/>
      <c r="X71" s="7">
        <f t="shared" si="50"/>
        <v>-795</v>
      </c>
      <c r="Y71" s="2"/>
      <c r="Z71" s="6">
        <f t="shared" si="51"/>
        <v>-1</v>
      </c>
    </row>
    <row r="72" spans="1:26" s="29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SUM(OSRRefD22_15x_0)</f>
        <v>9578.130000000001</v>
      </c>
      <c r="E72" s="1"/>
      <c r="F72" s="5">
        <f t="shared" si="44"/>
        <v>1.5122205194929576E-2</v>
      </c>
      <c r="G72" s="1"/>
      <c r="H72" s="1">
        <f>SUM(OSRRefH22_15x_0)</f>
        <v>10758.24</v>
      </c>
      <c r="I72" s="1"/>
      <c r="J72" s="5">
        <f t="shared" si="45"/>
        <v>0.28125272050644229</v>
      </c>
      <c r="K72" s="1"/>
      <c r="L72" s="1">
        <f t="shared" si="46"/>
        <v>-1180.1099999999988</v>
      </c>
      <c r="M72" s="1"/>
      <c r="N72" s="5">
        <f t="shared" si="47"/>
        <v>-0.10969359300406004</v>
      </c>
      <c r="O72" s="14"/>
      <c r="P72" s="1">
        <f>SUM(OSRRefP22_15x_0)</f>
        <v>218749.7</v>
      </c>
      <c r="Q72" s="1"/>
      <c r="R72" s="5">
        <f t="shared" si="48"/>
        <v>3.4039591851367096E-2</v>
      </c>
      <c r="S72" s="1"/>
      <c r="T72" s="1">
        <f>SUM(OSRRefT22_15x_0)</f>
        <v>100499.02</v>
      </c>
      <c r="U72" s="1"/>
      <c r="V72" s="5">
        <f t="shared" si="49"/>
        <v>0.14894237801881913</v>
      </c>
      <c r="W72" s="1"/>
      <c r="X72" s="1">
        <f t="shared" si="50"/>
        <v>118250.68000000001</v>
      </c>
      <c r="Y72" s="1"/>
      <c r="Z72" s="5">
        <f t="shared" si="51"/>
        <v>1.1766351552482801</v>
      </c>
    </row>
    <row r="73" spans="1:26" s="24" customFormat="1" hidden="1" outlineLevel="2" x14ac:dyDescent="0.3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336.98</v>
      </c>
      <c r="Q73" s="2"/>
      <c r="R73" s="6">
        <f t="shared" si="48"/>
        <v>5.2437382369318377E-5</v>
      </c>
      <c r="S73" s="2"/>
      <c r="T73" s="7"/>
      <c r="U73" s="2"/>
      <c r="V73" s="6">
        <f t="shared" si="49"/>
        <v>0</v>
      </c>
      <c r="W73" s="2"/>
      <c r="X73" s="7">
        <f t="shared" si="50"/>
        <v>336.98</v>
      </c>
      <c r="Y73" s="2"/>
      <c r="Z73" s="6">
        <f t="shared" si="51"/>
        <v>0</v>
      </c>
    </row>
    <row r="74" spans="1:26" s="24" customFormat="1" hidden="1" outlineLevel="2" x14ac:dyDescent="0.3">
      <c r="A74" s="27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44"/>
        <v>0</v>
      </c>
      <c r="G74" s="2"/>
      <c r="H74" s="7">
        <v>2921.2</v>
      </c>
      <c r="I74" s="2"/>
      <c r="J74" s="6">
        <f t="shared" si="45"/>
        <v>7.6368945770257879E-2</v>
      </c>
      <c r="K74" s="2"/>
      <c r="L74" s="7">
        <f t="shared" si="46"/>
        <v>-2921.2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50648.35</v>
      </c>
      <c r="U74" s="2"/>
      <c r="V74" s="6">
        <f t="shared" si="49"/>
        <v>7.5062281122039373E-2</v>
      </c>
      <c r="W74" s="2"/>
      <c r="X74" s="7">
        <f t="shared" si="50"/>
        <v>-50648.35</v>
      </c>
      <c r="Y74" s="2"/>
      <c r="Z74" s="6">
        <f t="shared" si="51"/>
        <v>-1</v>
      </c>
    </row>
    <row r="75" spans="1:26" s="24" customFormat="1" hidden="1" outlineLevel="2" x14ac:dyDescent="0.3">
      <c r="A75" s="27"/>
      <c r="B75" s="11" t="str">
        <f>CONCATENATE("          ", "6237", " - ", "JANITORIAL SUPPLIES")</f>
        <v xml:space="preserve">          6237 - JANITORIAL SUPPLIES</v>
      </c>
      <c r="C75" s="11"/>
      <c r="D75" s="7">
        <v>2238.52</v>
      </c>
      <c r="E75" s="2"/>
      <c r="F75" s="6">
        <f t="shared" si="44"/>
        <v>3.534234633791121E-3</v>
      </c>
      <c r="G75" s="2"/>
      <c r="H75" s="7">
        <v>4171.3599999999997</v>
      </c>
      <c r="I75" s="2"/>
      <c r="J75" s="6">
        <f t="shared" si="45"/>
        <v>0.10905188471457719</v>
      </c>
      <c r="K75" s="2"/>
      <c r="L75" s="7">
        <f t="shared" si="46"/>
        <v>-1932.8399999999997</v>
      </c>
      <c r="M75" s="2"/>
      <c r="N75" s="6">
        <f t="shared" si="47"/>
        <v>-0.46335967166583558</v>
      </c>
      <c r="O75" s="11"/>
      <c r="P75" s="7">
        <v>34036.14</v>
      </c>
      <c r="Q75" s="2"/>
      <c r="R75" s="6">
        <f t="shared" si="48"/>
        <v>5.2963561266414971E-3</v>
      </c>
      <c r="S75" s="2"/>
      <c r="T75" s="7">
        <v>17235.810000000001</v>
      </c>
      <c r="U75" s="2"/>
      <c r="V75" s="6">
        <f t="shared" si="49"/>
        <v>2.5543955836390672E-2</v>
      </c>
      <c r="W75" s="2"/>
      <c r="X75" s="7">
        <f t="shared" si="50"/>
        <v>16800.329999999998</v>
      </c>
      <c r="Y75" s="2"/>
      <c r="Z75" s="6">
        <f t="shared" si="51"/>
        <v>0.9747339985762199</v>
      </c>
    </row>
    <row r="76" spans="1:26" s="24" customFormat="1" hidden="1" outlineLevel="2" x14ac:dyDescent="0.3">
      <c r="A76" s="27"/>
      <c r="B76" s="11" t="str">
        <f>CONCATENATE("          ", "6239", " - ", "KITCHEN SUPPLIES")</f>
        <v xml:space="preserve">          6239 - KITCHEN SUPPLIES</v>
      </c>
      <c r="C76" s="11"/>
      <c r="D76" s="7">
        <v>1268.6600000000001</v>
      </c>
      <c r="E76" s="2"/>
      <c r="F76" s="6">
        <f t="shared" si="44"/>
        <v>2.0029939917916499E-3</v>
      </c>
      <c r="G76" s="2"/>
      <c r="H76" s="7">
        <v>979.48</v>
      </c>
      <c r="I76" s="2"/>
      <c r="J76" s="6">
        <f t="shared" si="45"/>
        <v>2.5606550391295425E-2</v>
      </c>
      <c r="K76" s="2"/>
      <c r="L76" s="7">
        <f t="shared" si="46"/>
        <v>289.18000000000006</v>
      </c>
      <c r="M76" s="2"/>
      <c r="N76" s="6">
        <f t="shared" si="47"/>
        <v>0.29523828970474136</v>
      </c>
      <c r="O76" s="11"/>
      <c r="P76" s="7">
        <v>25428.59</v>
      </c>
      <c r="Q76" s="2"/>
      <c r="R76" s="6">
        <f t="shared" si="48"/>
        <v>3.9569371978830361E-3</v>
      </c>
      <c r="S76" s="2"/>
      <c r="T76" s="7">
        <v>6794.03</v>
      </c>
      <c r="U76" s="2"/>
      <c r="V76" s="6">
        <f t="shared" si="49"/>
        <v>1.0068943801951478E-2</v>
      </c>
      <c r="W76" s="2"/>
      <c r="X76" s="7">
        <f t="shared" si="50"/>
        <v>18634.560000000001</v>
      </c>
      <c r="Y76" s="2"/>
      <c r="Z76" s="6">
        <f t="shared" si="51"/>
        <v>2.7427844740161587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7">
        <v>487.38</v>
      </c>
      <c r="E77" s="2"/>
      <c r="F77" s="6">
        <f t="shared" si="44"/>
        <v>7.6948844585579611E-4</v>
      </c>
      <c r="G77" s="2"/>
      <c r="H77" s="7">
        <v>979.61</v>
      </c>
      <c r="I77" s="2"/>
      <c r="J77" s="6">
        <f t="shared" si="45"/>
        <v>2.5609948981926034E-2</v>
      </c>
      <c r="K77" s="2"/>
      <c r="L77" s="7">
        <f t="shared" si="46"/>
        <v>-492.23</v>
      </c>
      <c r="M77" s="2"/>
      <c r="N77" s="6">
        <f t="shared" si="47"/>
        <v>-0.50247547493390232</v>
      </c>
      <c r="O77" s="11"/>
      <c r="P77" s="7">
        <v>14149.59</v>
      </c>
      <c r="Q77" s="2"/>
      <c r="R77" s="6">
        <f t="shared" si="48"/>
        <v>2.201814532610492E-3</v>
      </c>
      <c r="S77" s="2"/>
      <c r="T77" s="7">
        <v>4267.49</v>
      </c>
      <c r="U77" s="2"/>
      <c r="V77" s="6">
        <f t="shared" si="49"/>
        <v>6.3245403663789992E-3</v>
      </c>
      <c r="W77" s="2"/>
      <c r="X77" s="7">
        <f t="shared" si="50"/>
        <v>9882.1</v>
      </c>
      <c r="Y77" s="2"/>
      <c r="Z77" s="6">
        <f t="shared" si="51"/>
        <v>2.3156703354899486</v>
      </c>
    </row>
    <row r="78" spans="1:26" s="24" customFormat="1" hidden="1" outlineLevel="2" x14ac:dyDescent="0.3">
      <c r="A78" s="27"/>
      <c r="B78" s="11" t="str">
        <f>CONCATENATE("          ", "6243", " - ", "PAPER SUPPLIES")</f>
        <v xml:space="preserve">          6243 - PAPER SUPPLIES</v>
      </c>
      <c r="C78" s="11"/>
      <c r="D78" s="7">
        <v>5583.57</v>
      </c>
      <c r="E78" s="2"/>
      <c r="F78" s="6">
        <f t="shared" si="44"/>
        <v>8.8154881234910071E-3</v>
      </c>
      <c r="G78" s="2"/>
      <c r="H78" s="7">
        <v>1706.59</v>
      </c>
      <c r="I78" s="2"/>
      <c r="J78" s="6">
        <f t="shared" si="45"/>
        <v>4.4615390648385732E-2</v>
      </c>
      <c r="K78" s="2"/>
      <c r="L78" s="7">
        <f t="shared" si="46"/>
        <v>3876.9799999999996</v>
      </c>
      <c r="M78" s="2"/>
      <c r="N78" s="6">
        <f t="shared" si="47"/>
        <v>2.2717700209189085</v>
      </c>
      <c r="O78" s="11"/>
      <c r="P78" s="7">
        <v>137942.46</v>
      </c>
      <c r="Q78" s="2"/>
      <c r="R78" s="6">
        <f t="shared" si="48"/>
        <v>2.1465195323118299E-2</v>
      </c>
      <c r="S78" s="2"/>
      <c r="T78" s="7">
        <v>17052.75</v>
      </c>
      <c r="U78" s="2"/>
      <c r="V78" s="6">
        <f t="shared" si="49"/>
        <v>2.5272655760826501E-2</v>
      </c>
      <c r="W78" s="2"/>
      <c r="X78" s="7">
        <f t="shared" si="50"/>
        <v>120889.70999999999</v>
      </c>
      <c r="Y78" s="2"/>
      <c r="Z78" s="6">
        <f t="shared" si="51"/>
        <v>7.0891621585961202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1244.71</v>
      </c>
      <c r="Q79" s="2"/>
      <c r="R79" s="6">
        <f t="shared" si="48"/>
        <v>1.936890444801302E-4</v>
      </c>
      <c r="S79" s="2"/>
      <c r="T79" s="7"/>
      <c r="U79" s="2"/>
      <c r="V79" s="6">
        <f t="shared" si="49"/>
        <v>0</v>
      </c>
      <c r="W79" s="2"/>
      <c r="X79" s="7">
        <f t="shared" si="50"/>
        <v>1244.71</v>
      </c>
      <c r="Y79" s="2"/>
      <c r="Z79" s="6">
        <f t="shared" si="51"/>
        <v>0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5611.23</v>
      </c>
      <c r="Q80" s="2"/>
      <c r="R80" s="6">
        <f t="shared" si="48"/>
        <v>8.731622442643193E-4</v>
      </c>
      <c r="S80" s="2"/>
      <c r="T80" s="7">
        <v>4500.59</v>
      </c>
      <c r="U80" s="2"/>
      <c r="V80" s="6">
        <f t="shared" si="49"/>
        <v>6.6700011312320973E-3</v>
      </c>
      <c r="W80" s="2"/>
      <c r="X80" s="7">
        <f t="shared" si="50"/>
        <v>1110.6399999999994</v>
      </c>
      <c r="Y80" s="2"/>
      <c r="Z80" s="6">
        <f t="shared" si="51"/>
        <v>0.24677653374335351</v>
      </c>
    </row>
    <row r="81" spans="1:26" s="29" customFormat="1" outlineLevel="1" collapsed="1" x14ac:dyDescent="0.3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SUM(OSRRefD22_16x_0)</f>
        <v>734</v>
      </c>
      <c r="E81" s="1"/>
      <c r="F81" s="5">
        <f t="shared" ref="F81:F87" si="52">IF(D$12=0,0,D81/D$12)</f>
        <v>1.1588586303462479E-3</v>
      </c>
      <c r="G81" s="1"/>
      <c r="H81" s="1">
        <f>SUM(OSRRefH22_16x_0)</f>
        <v>248</v>
      </c>
      <c r="I81" s="1"/>
      <c r="J81" s="5">
        <f t="shared" ref="J81:J87" si="53">IF(H$12=0,0,H81/H$12)</f>
        <v>6.4834652030069679E-3</v>
      </c>
      <c r="K81" s="1"/>
      <c r="L81" s="1">
        <f t="shared" ref="L81:L87" si="54">+D81-H81</f>
        <v>486</v>
      </c>
      <c r="M81" s="1"/>
      <c r="N81" s="5">
        <f t="shared" ref="N81:N87" si="55">IF(H81=0,0,L81/H81)</f>
        <v>1.9596774193548387</v>
      </c>
      <c r="O81" s="14"/>
      <c r="P81" s="1">
        <f>SUM(OSRRefP22_16x_0)</f>
        <v>5019.8500000000004</v>
      </c>
      <c r="Q81" s="1"/>
      <c r="R81" s="5">
        <f t="shared" ref="R81:R87" si="56">IF(P$12=0,0,P81/P$12)</f>
        <v>7.8113773484071117E-4</v>
      </c>
      <c r="S81" s="1"/>
      <c r="T81" s="1">
        <f>SUM(OSRRefT22_16x_0)</f>
        <v>4031.32</v>
      </c>
      <c r="U81" s="1"/>
      <c r="V81" s="5">
        <f t="shared" ref="V81:V87" si="57">IF(T$12=0,0,T81/T$12)</f>
        <v>5.9745297750647313E-3</v>
      </c>
      <c r="W81" s="1"/>
      <c r="X81" s="1">
        <f t="shared" ref="X81:X87" si="58">+P81-T81</f>
        <v>988.5300000000002</v>
      </c>
      <c r="Y81" s="1"/>
      <c r="Z81" s="5">
        <f t="shared" ref="Z81:Z87" si="59">IF(T81=0,0,X81/T81)</f>
        <v>0.24521248623279723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7">
        <v>734</v>
      </c>
      <c r="E82" s="2"/>
      <c r="F82" s="6">
        <f t="shared" si="52"/>
        <v>1.1588586303462479E-3</v>
      </c>
      <c r="G82" s="2"/>
      <c r="H82" s="7">
        <v>248</v>
      </c>
      <c r="I82" s="2"/>
      <c r="J82" s="6">
        <f t="shared" si="53"/>
        <v>6.4834652030069679E-3</v>
      </c>
      <c r="K82" s="2"/>
      <c r="L82" s="7">
        <f t="shared" si="54"/>
        <v>486</v>
      </c>
      <c r="M82" s="2"/>
      <c r="N82" s="6">
        <f t="shared" si="55"/>
        <v>1.9596774193548387</v>
      </c>
      <c r="O82" s="11"/>
      <c r="P82" s="7">
        <v>5019.8500000000004</v>
      </c>
      <c r="Q82" s="2"/>
      <c r="R82" s="6">
        <f t="shared" si="56"/>
        <v>7.8113773484071117E-4</v>
      </c>
      <c r="S82" s="2"/>
      <c r="T82" s="7">
        <v>4031.32</v>
      </c>
      <c r="U82" s="2"/>
      <c r="V82" s="6">
        <f t="shared" si="57"/>
        <v>5.9745297750647313E-3</v>
      </c>
      <c r="W82" s="2"/>
      <c r="X82" s="7">
        <f t="shared" si="58"/>
        <v>988.5300000000002</v>
      </c>
      <c r="Y82" s="2"/>
      <c r="Z82" s="6">
        <f t="shared" si="59"/>
        <v>0.24521248623279723</v>
      </c>
    </row>
    <row r="83" spans="1:26" s="29" customFormat="1" outlineLevel="1" collapsed="1" x14ac:dyDescent="0.3">
      <c r="A83" s="28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SUM(OSRRefD22_17x_0)</f>
        <v>323.87</v>
      </c>
      <c r="E83" s="1"/>
      <c r="F83" s="5">
        <f t="shared" si="52"/>
        <v>5.1133452944174295E-4</v>
      </c>
      <c r="G83" s="1"/>
      <c r="H83" s="1">
        <f>SUM(OSRRefH22_17x_0)</f>
        <v>0</v>
      </c>
      <c r="I83" s="1"/>
      <c r="J83" s="5">
        <f t="shared" si="53"/>
        <v>0</v>
      </c>
      <c r="K83" s="1"/>
      <c r="L83" s="1">
        <f t="shared" si="54"/>
        <v>323.87</v>
      </c>
      <c r="M83" s="1"/>
      <c r="N83" s="5">
        <f t="shared" si="55"/>
        <v>0</v>
      </c>
      <c r="O83" s="14"/>
      <c r="P83" s="1">
        <f>SUM(OSRRefP22_17x_0)</f>
        <v>1393.87</v>
      </c>
      <c r="Q83" s="1"/>
      <c r="R83" s="5">
        <f t="shared" si="56"/>
        <v>2.1689979869167841E-4</v>
      </c>
      <c r="S83" s="1"/>
      <c r="T83" s="1">
        <f>SUM(OSRRefT22_17x_0)</f>
        <v>735</v>
      </c>
      <c r="U83" s="1"/>
      <c r="V83" s="5">
        <f t="shared" si="57"/>
        <v>1.0892906999872441E-3</v>
      </c>
      <c r="W83" s="1"/>
      <c r="X83" s="1">
        <f t="shared" si="58"/>
        <v>658.86999999999989</v>
      </c>
      <c r="Y83" s="1"/>
      <c r="Z83" s="5">
        <f t="shared" si="59"/>
        <v>0.8964217687074828</v>
      </c>
    </row>
    <row r="84" spans="1:26" s="24" customFormat="1" hidden="1" outlineLevel="2" x14ac:dyDescent="0.3">
      <c r="A84" s="27"/>
      <c r="B84" s="11" t="str">
        <f>CONCATENATE("          ", "6376", " - ", "TRAINING")</f>
        <v xml:space="preserve">          6376 - TRAINING</v>
      </c>
      <c r="C84" s="11"/>
      <c r="D84" s="7">
        <v>323.87</v>
      </c>
      <c r="E84" s="2"/>
      <c r="F84" s="6">
        <f t="shared" si="52"/>
        <v>5.1133452944174295E-4</v>
      </c>
      <c r="G84" s="2"/>
      <c r="H84" s="7"/>
      <c r="I84" s="2"/>
      <c r="J84" s="6">
        <f t="shared" si="53"/>
        <v>0</v>
      </c>
      <c r="K84" s="2"/>
      <c r="L84" s="7">
        <f t="shared" si="54"/>
        <v>323.87</v>
      </c>
      <c r="M84" s="2"/>
      <c r="N84" s="6">
        <f t="shared" si="55"/>
        <v>0</v>
      </c>
      <c r="O84" s="11"/>
      <c r="P84" s="7">
        <v>1393.87</v>
      </c>
      <c r="Q84" s="2"/>
      <c r="R84" s="6">
        <f t="shared" si="56"/>
        <v>2.1689979869167841E-4</v>
      </c>
      <c r="S84" s="2"/>
      <c r="T84" s="7">
        <v>735</v>
      </c>
      <c r="U84" s="2"/>
      <c r="V84" s="6">
        <f t="shared" si="57"/>
        <v>1.0892906999872441E-3</v>
      </c>
      <c r="W84" s="2"/>
      <c r="X84" s="7">
        <f t="shared" si="58"/>
        <v>658.86999999999989</v>
      </c>
      <c r="Y84" s="2"/>
      <c r="Z84" s="6">
        <f t="shared" si="59"/>
        <v>0.8964217687074828</v>
      </c>
    </row>
    <row r="85" spans="1:26" s="29" customFormat="1" outlineLevel="1" collapsed="1" x14ac:dyDescent="0.3">
      <c r="A85" s="28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SUM(OSRRefD22_18x_0)</f>
        <v>0</v>
      </c>
      <c r="E85" s="1"/>
      <c r="F85" s="5">
        <f t="shared" si="52"/>
        <v>0</v>
      </c>
      <c r="G85" s="1"/>
      <c r="H85" s="1">
        <f>SUM(OSRRefH22_18x_0)</f>
        <v>0</v>
      </c>
      <c r="I85" s="1"/>
      <c r="J85" s="5">
        <f t="shared" si="53"/>
        <v>0</v>
      </c>
      <c r="K85" s="1"/>
      <c r="L85" s="1">
        <f t="shared" si="54"/>
        <v>0</v>
      </c>
      <c r="M85" s="1"/>
      <c r="N85" s="5">
        <f t="shared" si="55"/>
        <v>0</v>
      </c>
      <c r="O85" s="14"/>
      <c r="P85" s="1">
        <f>SUM(OSRRefP22_18x_0)</f>
        <v>699.02</v>
      </c>
      <c r="Q85" s="1"/>
      <c r="R85" s="5">
        <f t="shared" si="56"/>
        <v>1.0877434572912614E-4</v>
      </c>
      <c r="S85" s="1"/>
      <c r="T85" s="1">
        <f>SUM(OSRRefT22_18x_0)</f>
        <v>0</v>
      </c>
      <c r="U85" s="1"/>
      <c r="V85" s="5">
        <f t="shared" si="57"/>
        <v>0</v>
      </c>
      <c r="W85" s="1"/>
      <c r="X85" s="1">
        <f t="shared" si="58"/>
        <v>699.02</v>
      </c>
      <c r="Y85" s="1"/>
      <c r="Z85" s="5">
        <f t="shared" si="59"/>
        <v>0</v>
      </c>
    </row>
    <row r="86" spans="1:26" s="24" customFormat="1" hidden="1" outlineLevel="2" x14ac:dyDescent="0.3">
      <c r="A86" s="27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52"/>
        <v>0</v>
      </c>
      <c r="G86" s="2"/>
      <c r="H86" s="7"/>
      <c r="I86" s="2"/>
      <c r="J86" s="6">
        <f t="shared" si="53"/>
        <v>0</v>
      </c>
      <c r="K86" s="2"/>
      <c r="L86" s="7">
        <f t="shared" si="54"/>
        <v>0</v>
      </c>
      <c r="M86" s="2"/>
      <c r="N86" s="6">
        <f t="shared" si="55"/>
        <v>0</v>
      </c>
      <c r="O86" s="11"/>
      <c r="P86" s="7">
        <v>595</v>
      </c>
      <c r="Q86" s="2"/>
      <c r="R86" s="6">
        <f t="shared" si="56"/>
        <v>9.2587816813295834E-5</v>
      </c>
      <c r="S86" s="2"/>
      <c r="T86" s="7"/>
      <c r="U86" s="2"/>
      <c r="V86" s="6">
        <f t="shared" si="57"/>
        <v>0</v>
      </c>
      <c r="W86" s="2"/>
      <c r="X86" s="7">
        <f t="shared" si="58"/>
        <v>595</v>
      </c>
      <c r="Y86" s="2"/>
      <c r="Z86" s="6">
        <f t="shared" si="59"/>
        <v>0</v>
      </c>
    </row>
    <row r="87" spans="1:26" s="24" customFormat="1" hidden="1" outlineLevel="2" x14ac:dyDescent="0.3">
      <c r="A87" s="27"/>
      <c r="B87" s="11" t="str">
        <f>CONCATENATE("          ", "6298", " - ", "VEHICLE MILEAGE")</f>
        <v xml:space="preserve">          6298 - VEHICLE MILEAGE</v>
      </c>
      <c r="C87" s="11"/>
      <c r="D87" s="7"/>
      <c r="E87" s="2"/>
      <c r="F87" s="6">
        <f t="shared" si="52"/>
        <v>0</v>
      </c>
      <c r="G87" s="2"/>
      <c r="H87" s="7"/>
      <c r="I87" s="2"/>
      <c r="J87" s="6">
        <f t="shared" si="53"/>
        <v>0</v>
      </c>
      <c r="K87" s="2"/>
      <c r="L87" s="7">
        <f t="shared" si="54"/>
        <v>0</v>
      </c>
      <c r="M87" s="2"/>
      <c r="N87" s="6">
        <f t="shared" si="55"/>
        <v>0</v>
      </c>
      <c r="O87" s="11"/>
      <c r="P87" s="7">
        <v>104.02</v>
      </c>
      <c r="Q87" s="2"/>
      <c r="R87" s="6">
        <f t="shared" si="56"/>
        <v>1.6186528915830306E-5</v>
      </c>
      <c r="S87" s="2"/>
      <c r="T87" s="7"/>
      <c r="U87" s="2"/>
      <c r="V87" s="6">
        <f t="shared" si="57"/>
        <v>0</v>
      </c>
      <c r="W87" s="2"/>
      <c r="X87" s="7">
        <f t="shared" si="58"/>
        <v>104.02</v>
      </c>
      <c r="Y87" s="2"/>
      <c r="Z87" s="6">
        <f t="shared" si="59"/>
        <v>0</v>
      </c>
    </row>
    <row r="88" spans="1:26" s="52" customFormat="1" x14ac:dyDescent="0.3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3">
      <c r="A89" s="10"/>
      <c r="B89" s="26" t="s">
        <v>292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5" t="s">
        <v>276</v>
      </c>
      <c r="C91" s="25"/>
      <c r="D91" s="21">
        <f>+D21-D23+D89</f>
        <v>180014.27000000002</v>
      </c>
      <c r="E91" s="13"/>
      <c r="F91" s="22">
        <f>IF(D$12=0,0,D91/D$12)</f>
        <v>0.28421129478880069</v>
      </c>
      <c r="G91" s="13"/>
      <c r="H91" s="21">
        <f>+H21-H23+H89</f>
        <v>-175709.98000000004</v>
      </c>
      <c r="I91" s="13"/>
      <c r="J91" s="22">
        <f>IF(H$12=0,0,H91/H$12)</f>
        <v>-4.5935868594800429</v>
      </c>
      <c r="K91" s="15"/>
      <c r="L91" s="21">
        <f>+D91-H91</f>
        <v>355724.25000000006</v>
      </c>
      <c r="M91" s="15"/>
      <c r="N91" s="22">
        <f>IF(H91=0,0,L91/H91)</f>
        <v>-2.0244965596148834</v>
      </c>
      <c r="O91" s="26"/>
      <c r="P91" s="21">
        <f>+P21-P23+P89</f>
        <v>1769553.4000000004</v>
      </c>
      <c r="Q91" s="13"/>
      <c r="R91" s="22">
        <f>IF(P$12=0,0,P91/P$12)</f>
        <v>0.27535980847150393</v>
      </c>
      <c r="S91" s="13"/>
      <c r="T91" s="21">
        <f>+T21-T23+T89</f>
        <v>-1193542.4300000002</v>
      </c>
      <c r="U91" s="13"/>
      <c r="V91" s="22">
        <f>IF(T$12=0,0,T91/T$12)</f>
        <v>-1.7688634952913966</v>
      </c>
      <c r="W91" s="15"/>
      <c r="X91" s="21">
        <f>+P91-T91</f>
        <v>2963095.8300000005</v>
      </c>
      <c r="Y91" s="15"/>
      <c r="Z91" s="22">
        <f>IF(T91=0,0,X91/T91)</f>
        <v>-2.4826061944023223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1"/>
      <c r="B93" s="10" t="s">
        <v>127</v>
      </c>
      <c r="C93" s="10"/>
      <c r="D93" s="4">
        <v>153334.74</v>
      </c>
      <c r="E93" s="4"/>
      <c r="F93" s="12">
        <f>IF(D$12=0,0,D93/D$12)</f>
        <v>0.24208894656798097</v>
      </c>
      <c r="G93" s="4"/>
      <c r="H93" s="4">
        <v>4719.22</v>
      </c>
      <c r="I93" s="4"/>
      <c r="J93" s="12">
        <f>IF(H$12=0,0,H93/H$12)</f>
        <v>0.12337459135215542</v>
      </c>
      <c r="K93" s="4"/>
      <c r="L93" s="4">
        <f>+D93-H93</f>
        <v>148615.51999999999</v>
      </c>
      <c r="M93" s="4"/>
      <c r="N93" s="12">
        <f>IF(H93=0,0,L93/H93)</f>
        <v>31.491543093985868</v>
      </c>
      <c r="O93" s="10"/>
      <c r="P93" s="4">
        <v>850636.7</v>
      </c>
      <c r="Q93" s="4"/>
      <c r="R93" s="12">
        <f>IF(P$12=0,0,P93/P$12)</f>
        <v>0.13236738647775881</v>
      </c>
      <c r="S93" s="4"/>
      <c r="T93" s="4">
        <v>122485.16</v>
      </c>
      <c r="U93" s="4"/>
      <c r="V93" s="12">
        <f>IF(T$12=0,0,T93/T$12)</f>
        <v>0.18152645669993142</v>
      </c>
      <c r="W93" s="4"/>
      <c r="X93" s="4">
        <f>+P93-T93</f>
        <v>728151.53999999992</v>
      </c>
      <c r="Y93" s="4"/>
      <c r="Z93" s="12">
        <f>IF(T93=0,0,X93/T93)</f>
        <v>5.94481437588031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5" t="s">
        <v>125</v>
      </c>
      <c r="C95" s="25"/>
      <c r="D95" s="36">
        <f>+D91-D93</f>
        <v>26679.530000000028</v>
      </c>
      <c r="E95" s="13"/>
      <c r="F95" s="31">
        <f>IF(D$12=0,0,D95/D$12)</f>
        <v>4.2122348220819707E-2</v>
      </c>
      <c r="G95" s="13"/>
      <c r="H95" s="36">
        <f>+H91-H93</f>
        <v>-180429.20000000004</v>
      </c>
      <c r="I95" s="13"/>
      <c r="J95" s="31">
        <f>IF(H$12=0,0,H95/H$12)</f>
        <v>-4.7169614508321978</v>
      </c>
      <c r="K95" s="15"/>
      <c r="L95" s="36">
        <f>D95-H95</f>
        <v>207108.73000000007</v>
      </c>
      <c r="M95" s="15"/>
      <c r="N95" s="31">
        <f>IF(H95=0,0,L95/H95)</f>
        <v>-1.1478670303919767</v>
      </c>
      <c r="O95" s="26"/>
      <c r="P95" s="36">
        <f>+P91-P93</f>
        <v>918916.70000000042</v>
      </c>
      <c r="Q95" s="13"/>
      <c r="R95" s="31">
        <f>IF(P$12=0,0,P95/P$12)</f>
        <v>0.14299242199374515</v>
      </c>
      <c r="S95" s="13"/>
      <c r="T95" s="36">
        <f>+T91-T93</f>
        <v>-1316027.5900000001</v>
      </c>
      <c r="U95" s="13"/>
      <c r="V95" s="31">
        <f>IF(T$12=0,0,T95/T$12)</f>
        <v>-1.9503899519913279</v>
      </c>
      <c r="W95" s="15"/>
      <c r="X95" s="36">
        <f>P95-T95</f>
        <v>2234944.2900000005</v>
      </c>
      <c r="Y95" s="15"/>
      <c r="Z95" s="31">
        <f>IF(T95=0,0,X95/T95)</f>
        <v>-1.698250330754844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5" t="s">
        <v>293</v>
      </c>
      <c r="C98" s="25"/>
      <c r="D98" s="35">
        <f>SUM(D95:D97)</f>
        <v>26679.530000000028</v>
      </c>
      <c r="E98" s="13"/>
      <c r="F98" s="32">
        <f>IF(D$12=0,0,D98/D$12)</f>
        <v>4.2122348220819707E-2</v>
      </c>
      <c r="G98" s="13"/>
      <c r="H98" s="35">
        <f>SUM(H95:H97)</f>
        <v>-180429.20000000004</v>
      </c>
      <c r="I98" s="13"/>
      <c r="J98" s="32">
        <f>IF(H$12=0,0,H98/H$12)</f>
        <v>-4.7169614508321978</v>
      </c>
      <c r="K98" s="15"/>
      <c r="L98" s="35">
        <f>+D98-H98</f>
        <v>207108.73000000007</v>
      </c>
      <c r="M98" s="15"/>
      <c r="N98" s="32">
        <f>IF(H98=0,0,L98/H98)</f>
        <v>-1.1478670303919767</v>
      </c>
      <c r="O98" s="26"/>
      <c r="P98" s="35">
        <f>SUM(P95:P97)</f>
        <v>918916.70000000042</v>
      </c>
      <c r="Q98" s="13"/>
      <c r="R98" s="32">
        <f>IF(P$12=0,0,P98/P$12)</f>
        <v>0.14299242199374515</v>
      </c>
      <c r="S98" s="13"/>
      <c r="T98" s="35">
        <f>SUM(T95:T97)</f>
        <v>-1316027.5900000001</v>
      </c>
      <c r="U98" s="13"/>
      <c r="V98" s="32">
        <f>IF(T$12=0,0,T98/T$12)</f>
        <v>-1.9503899519913279</v>
      </c>
      <c r="W98" s="15"/>
      <c r="X98" s="35">
        <f>+P98-T98</f>
        <v>2234944.2900000005</v>
      </c>
      <c r="Y98" s="15"/>
      <c r="Z98" s="32">
        <f>IF(T98=0,0,X98/T98)</f>
        <v>-1.698250330754844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54">
        <v>44604.02842141204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53" t="s">
        <v>56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","430", " - ", "Res Hall Management")</f>
        <v>Department 430 - Res Hall Management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20905.3</v>
      </c>
      <c r="E18" s="20"/>
      <c r="F18" s="30">
        <f t="shared" ref="F18:F27" si="0">IF(D$12=0,0,D18/D$12)</f>
        <v>0</v>
      </c>
      <c r="G18" s="20"/>
      <c r="H18" s="20">
        <f>SUM(OSRRefH22x_0)</f>
        <v>20118.95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786.34999999999854</v>
      </c>
      <c r="M18" s="4"/>
      <c r="N18" s="30">
        <f t="shared" ref="N18:N27" si="3">IF(H18=0,0,L18/H18)</f>
        <v>3.9085041714403509E-2</v>
      </c>
      <c r="O18" s="10"/>
      <c r="P18" s="20">
        <f>SUM(OSRRefP22x_0)</f>
        <v>137855.43999999997</v>
      </c>
      <c r="Q18" s="20"/>
      <c r="R18" s="30">
        <f t="shared" ref="R18:R27" si="4">IF(P$12=0,0,P18/P$12)</f>
        <v>0</v>
      </c>
      <c r="S18" s="20"/>
      <c r="T18" s="20">
        <f>SUM(OSRRefT22x_0)</f>
        <v>117947.51999999999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19907.919999999984</v>
      </c>
      <c r="Y18" s="4"/>
      <c r="Z18" s="30">
        <f t="shared" ref="Z18:Z27" si="7">IF(T18=0,0,X18/T18)</f>
        <v>0.16878625341168671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7223.1</v>
      </c>
      <c r="E19" s="1"/>
      <c r="F19" s="5">
        <f t="shared" si="0"/>
        <v>0</v>
      </c>
      <c r="G19" s="1"/>
      <c r="H19" s="1">
        <f>SUM(OSRRefH22_0x_0)</f>
        <v>5792.39</v>
      </c>
      <c r="I19" s="1"/>
      <c r="J19" s="5">
        <f t="shared" si="1"/>
        <v>0</v>
      </c>
      <c r="K19" s="1"/>
      <c r="L19" s="1">
        <f t="shared" si="2"/>
        <v>1430.71</v>
      </c>
      <c r="M19" s="1"/>
      <c r="N19" s="5">
        <f t="shared" si="3"/>
        <v>0.24699821662560703</v>
      </c>
      <c r="O19" s="14"/>
      <c r="P19" s="1">
        <f>SUM(OSRRefP22_0x_0)</f>
        <v>43006.009999999995</v>
      </c>
      <c r="Q19" s="1"/>
      <c r="R19" s="5">
        <f t="shared" si="4"/>
        <v>0</v>
      </c>
      <c r="S19" s="1"/>
      <c r="T19" s="1">
        <f>SUM(OSRRefT22_0x_0)</f>
        <v>41470.85</v>
      </c>
      <c r="U19" s="1"/>
      <c r="V19" s="5">
        <f t="shared" si="5"/>
        <v>0</v>
      </c>
      <c r="W19" s="1"/>
      <c r="X19" s="1">
        <f t="shared" si="6"/>
        <v>1535.1599999999962</v>
      </c>
      <c r="Y19" s="1"/>
      <c r="Z19" s="5">
        <f t="shared" si="7"/>
        <v>3.7017808894681356E-2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718.56</v>
      </c>
      <c r="E20" s="2"/>
      <c r="F20" s="6">
        <f t="shared" si="0"/>
        <v>0</v>
      </c>
      <c r="G20" s="2"/>
      <c r="H20" s="7">
        <v>691.15</v>
      </c>
      <c r="I20" s="2"/>
      <c r="J20" s="6">
        <f t="shared" si="1"/>
        <v>0</v>
      </c>
      <c r="K20" s="2"/>
      <c r="L20" s="7">
        <f t="shared" si="2"/>
        <v>27.409999999999968</v>
      </c>
      <c r="M20" s="2"/>
      <c r="N20" s="6">
        <f t="shared" si="3"/>
        <v>3.9658540114302206E-2</v>
      </c>
      <c r="O20" s="11"/>
      <c r="P20" s="7">
        <v>5274.88</v>
      </c>
      <c r="Q20" s="2"/>
      <c r="R20" s="6">
        <f t="shared" si="4"/>
        <v>0</v>
      </c>
      <c r="S20" s="2"/>
      <c r="T20" s="7">
        <v>5363.65</v>
      </c>
      <c r="U20" s="2"/>
      <c r="V20" s="6">
        <f t="shared" si="5"/>
        <v>0</v>
      </c>
      <c r="W20" s="2"/>
      <c r="X20" s="7">
        <f t="shared" si="6"/>
        <v>-88.769999999999527</v>
      </c>
      <c r="Y20" s="2"/>
      <c r="Z20" s="6">
        <f t="shared" si="7"/>
        <v>-1.6550296906024727E-2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338.15</v>
      </c>
      <c r="E21" s="2"/>
      <c r="F21" s="6">
        <f t="shared" si="0"/>
        <v>0</v>
      </c>
      <c r="G21" s="2"/>
      <c r="H21" s="7">
        <v>82.97</v>
      </c>
      <c r="I21" s="2"/>
      <c r="J21" s="6">
        <f t="shared" si="1"/>
        <v>0</v>
      </c>
      <c r="K21" s="2"/>
      <c r="L21" s="7">
        <f t="shared" si="2"/>
        <v>255.17999999999998</v>
      </c>
      <c r="M21" s="2"/>
      <c r="N21" s="6">
        <f t="shared" si="3"/>
        <v>3.0755694829456428</v>
      </c>
      <c r="O21" s="11"/>
      <c r="P21" s="7">
        <v>2473.9899999999998</v>
      </c>
      <c r="Q21" s="2"/>
      <c r="R21" s="6">
        <f t="shared" si="4"/>
        <v>0</v>
      </c>
      <c r="S21" s="2"/>
      <c r="T21" s="7">
        <v>2998.35</v>
      </c>
      <c r="U21" s="2"/>
      <c r="V21" s="6">
        <f t="shared" si="5"/>
        <v>0</v>
      </c>
      <c r="W21" s="2"/>
      <c r="X21" s="7">
        <f t="shared" si="6"/>
        <v>-524.36000000000013</v>
      </c>
      <c r="Y21" s="2"/>
      <c r="Z21" s="6">
        <f t="shared" si="7"/>
        <v>-0.17488285223539618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2467.5700000000002</v>
      </c>
      <c r="E22" s="2"/>
      <c r="F22" s="6">
        <f t="shared" si="0"/>
        <v>0</v>
      </c>
      <c r="G22" s="2"/>
      <c r="H22" s="7">
        <v>2691.73</v>
      </c>
      <c r="I22" s="2"/>
      <c r="J22" s="6">
        <f t="shared" si="1"/>
        <v>0</v>
      </c>
      <c r="K22" s="2"/>
      <c r="L22" s="7">
        <f t="shared" si="2"/>
        <v>-224.15999999999985</v>
      </c>
      <c r="M22" s="2"/>
      <c r="N22" s="6">
        <f t="shared" si="3"/>
        <v>-8.3277297500120681E-2</v>
      </c>
      <c r="O22" s="11"/>
      <c r="P22" s="7">
        <v>18606.7</v>
      </c>
      <c r="Q22" s="2"/>
      <c r="R22" s="6">
        <f t="shared" si="4"/>
        <v>0</v>
      </c>
      <c r="S22" s="2"/>
      <c r="T22" s="7">
        <v>19119.13</v>
      </c>
      <c r="U22" s="2"/>
      <c r="V22" s="6">
        <f t="shared" si="5"/>
        <v>0</v>
      </c>
      <c r="W22" s="2"/>
      <c r="X22" s="7">
        <f t="shared" si="6"/>
        <v>-512.43000000000029</v>
      </c>
      <c r="Y22" s="2"/>
      <c r="Z22" s="6">
        <f t="shared" si="7"/>
        <v>-2.6801951762449455E-2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24.42</v>
      </c>
      <c r="E23" s="2"/>
      <c r="F23" s="6">
        <f t="shared" si="0"/>
        <v>0</v>
      </c>
      <c r="G23" s="2"/>
      <c r="H23" s="7">
        <v>46.78</v>
      </c>
      <c r="I23" s="2"/>
      <c r="J23" s="6">
        <f t="shared" si="1"/>
        <v>0</v>
      </c>
      <c r="K23" s="2"/>
      <c r="L23" s="7">
        <f t="shared" si="2"/>
        <v>-22.36</v>
      </c>
      <c r="M23" s="2"/>
      <c r="N23" s="6">
        <f t="shared" si="3"/>
        <v>-0.47798204360837965</v>
      </c>
      <c r="O23" s="11"/>
      <c r="P23" s="7">
        <v>178.67</v>
      </c>
      <c r="Q23" s="2"/>
      <c r="R23" s="6">
        <f t="shared" si="4"/>
        <v>0</v>
      </c>
      <c r="S23" s="2"/>
      <c r="T23" s="7">
        <v>181.7</v>
      </c>
      <c r="U23" s="2"/>
      <c r="V23" s="6">
        <f t="shared" si="5"/>
        <v>0</v>
      </c>
      <c r="W23" s="2"/>
      <c r="X23" s="7">
        <f t="shared" si="6"/>
        <v>-3.0300000000000011</v>
      </c>
      <c r="Y23" s="2"/>
      <c r="Z23" s="6">
        <f t="shared" si="7"/>
        <v>-1.6675839295542109E-2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707.23</v>
      </c>
      <c r="E24" s="2"/>
      <c r="F24" s="6">
        <f t="shared" si="0"/>
        <v>0</v>
      </c>
      <c r="G24" s="2"/>
      <c r="H24" s="7">
        <v>1038.8599999999999</v>
      </c>
      <c r="I24" s="2"/>
      <c r="J24" s="6">
        <f t="shared" si="1"/>
        <v>0</v>
      </c>
      <c r="K24" s="2"/>
      <c r="L24" s="7">
        <f t="shared" si="2"/>
        <v>-331.62999999999988</v>
      </c>
      <c r="M24" s="2"/>
      <c r="N24" s="6">
        <f t="shared" si="3"/>
        <v>-0.3192249196234333</v>
      </c>
      <c r="O24" s="11"/>
      <c r="P24" s="7">
        <v>5181.82</v>
      </c>
      <c r="Q24" s="2"/>
      <c r="R24" s="6">
        <f t="shared" si="4"/>
        <v>0</v>
      </c>
      <c r="S24" s="2"/>
      <c r="T24" s="7">
        <v>5540.57</v>
      </c>
      <c r="U24" s="2"/>
      <c r="V24" s="6">
        <f t="shared" si="5"/>
        <v>0</v>
      </c>
      <c r="W24" s="2"/>
      <c r="X24" s="7">
        <f t="shared" si="6"/>
        <v>-358.75</v>
      </c>
      <c r="Y24" s="2"/>
      <c r="Z24" s="6">
        <f t="shared" si="7"/>
        <v>-6.4749655721342753E-2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1718.28</v>
      </c>
      <c r="E25" s="2"/>
      <c r="F25" s="6">
        <f t="shared" si="0"/>
        <v>0</v>
      </c>
      <c r="G25" s="2"/>
      <c r="H25" s="7">
        <v>827.64</v>
      </c>
      <c r="I25" s="2"/>
      <c r="J25" s="6">
        <f t="shared" si="1"/>
        <v>0</v>
      </c>
      <c r="K25" s="2"/>
      <c r="L25" s="7">
        <f t="shared" si="2"/>
        <v>890.64</v>
      </c>
      <c r="M25" s="2"/>
      <c r="N25" s="6">
        <f t="shared" si="3"/>
        <v>1.0761200521966072</v>
      </c>
      <c r="O25" s="11"/>
      <c r="P25" s="7">
        <v>6800.74</v>
      </c>
      <c r="Q25" s="2"/>
      <c r="R25" s="6">
        <f t="shared" si="4"/>
        <v>0</v>
      </c>
      <c r="S25" s="2"/>
      <c r="T25" s="7">
        <v>5000</v>
      </c>
      <c r="U25" s="2"/>
      <c r="V25" s="6">
        <f t="shared" si="5"/>
        <v>0</v>
      </c>
      <c r="W25" s="2"/>
      <c r="X25" s="7">
        <f t="shared" si="6"/>
        <v>1800.7399999999998</v>
      </c>
      <c r="Y25" s="2"/>
      <c r="Z25" s="6">
        <f t="shared" si="7"/>
        <v>0.36014799999999997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1174.6300000000001</v>
      </c>
      <c r="E26" s="2"/>
      <c r="F26" s="6">
        <f t="shared" si="0"/>
        <v>0</v>
      </c>
      <c r="G26" s="2"/>
      <c r="H26" s="7">
        <v>413.26</v>
      </c>
      <c r="I26" s="2"/>
      <c r="J26" s="6">
        <f t="shared" si="1"/>
        <v>0</v>
      </c>
      <c r="K26" s="2"/>
      <c r="L26" s="7">
        <f t="shared" si="2"/>
        <v>761.37000000000012</v>
      </c>
      <c r="M26" s="2"/>
      <c r="N26" s="6">
        <f t="shared" si="3"/>
        <v>1.8423510622852446</v>
      </c>
      <c r="O26" s="11"/>
      <c r="P26" s="7">
        <v>3893.86</v>
      </c>
      <c r="Q26" s="2"/>
      <c r="R26" s="6">
        <f t="shared" si="4"/>
        <v>0</v>
      </c>
      <c r="S26" s="2"/>
      <c r="T26" s="7">
        <v>3099.45</v>
      </c>
      <c r="U26" s="2"/>
      <c r="V26" s="6">
        <f t="shared" si="5"/>
        <v>0</v>
      </c>
      <c r="W26" s="2"/>
      <c r="X26" s="7">
        <f t="shared" si="6"/>
        <v>794.41000000000031</v>
      </c>
      <c r="Y26" s="2"/>
      <c r="Z26" s="6">
        <f t="shared" si="7"/>
        <v>0.25630676410330877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74.260000000000005</v>
      </c>
      <c r="E27" s="2"/>
      <c r="F27" s="6">
        <f t="shared" si="0"/>
        <v>0</v>
      </c>
      <c r="G27" s="2"/>
      <c r="H27" s="7"/>
      <c r="I27" s="2"/>
      <c r="J27" s="6">
        <f t="shared" si="1"/>
        <v>0</v>
      </c>
      <c r="K27" s="2"/>
      <c r="L27" s="7">
        <f t="shared" si="2"/>
        <v>74.260000000000005</v>
      </c>
      <c r="M27" s="2"/>
      <c r="N27" s="6">
        <f t="shared" si="3"/>
        <v>0</v>
      </c>
      <c r="O27" s="11"/>
      <c r="P27" s="7">
        <v>595.35</v>
      </c>
      <c r="Q27" s="2"/>
      <c r="R27" s="6">
        <f t="shared" si="4"/>
        <v>0</v>
      </c>
      <c r="S27" s="2"/>
      <c r="T27" s="7">
        <v>168</v>
      </c>
      <c r="U27" s="2"/>
      <c r="V27" s="6">
        <f t="shared" si="5"/>
        <v>0</v>
      </c>
      <c r="W27" s="2"/>
      <c r="X27" s="7">
        <f t="shared" si="6"/>
        <v>427.35</v>
      </c>
      <c r="Y27" s="2"/>
      <c r="Z27" s="6">
        <f t="shared" si="7"/>
        <v>2.5437500000000002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9783.33</v>
      </c>
      <c r="E28" s="1"/>
      <c r="F28" s="5">
        <f t="shared" ref="F28:F38" si="8">IF(D$12=0,0,D28/D$12)</f>
        <v>0</v>
      </c>
      <c r="G28" s="1"/>
      <c r="H28" s="1">
        <f>SUM(OSRRefH22_1x_0)</f>
        <v>10826.56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-1043.2299999999996</v>
      </c>
      <c r="M28" s="1"/>
      <c r="N28" s="5">
        <f t="shared" ref="N28:N38" si="11">IF(H28=0,0,L28/H28)</f>
        <v>-9.6358400082759393E-2</v>
      </c>
      <c r="O28" s="14"/>
      <c r="P28" s="1">
        <f>SUM(OSRRefP22_1x_0)</f>
        <v>65529.53</v>
      </c>
      <c r="Q28" s="1"/>
      <c r="R28" s="5">
        <f t="shared" ref="R28:R38" si="12">IF(P$12=0,0,P28/P$12)</f>
        <v>0</v>
      </c>
      <c r="S28" s="1"/>
      <c r="T28" s="1">
        <f>SUM(OSRRefT22_1x_0)</f>
        <v>64135.82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1393.7099999999991</v>
      </c>
      <c r="Y28" s="1"/>
      <c r="Z28" s="5">
        <f t="shared" ref="Z28:Z38" si="15">IF(T28=0,0,X28/T28)</f>
        <v>2.1730602337352186E-2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9783.33</v>
      </c>
      <c r="E29" s="2"/>
      <c r="F29" s="6">
        <f t="shared" si="8"/>
        <v>0</v>
      </c>
      <c r="G29" s="2"/>
      <c r="H29" s="7">
        <v>10826.56</v>
      </c>
      <c r="I29" s="2"/>
      <c r="J29" s="6">
        <f t="shared" si="9"/>
        <v>0</v>
      </c>
      <c r="K29" s="2"/>
      <c r="L29" s="7">
        <f t="shared" si="10"/>
        <v>-1043.2299999999996</v>
      </c>
      <c r="M29" s="2"/>
      <c r="N29" s="6">
        <f t="shared" si="11"/>
        <v>-9.6358400082759393E-2</v>
      </c>
      <c r="O29" s="11"/>
      <c r="P29" s="7">
        <v>65529.53</v>
      </c>
      <c r="Q29" s="2"/>
      <c r="R29" s="6">
        <f t="shared" si="12"/>
        <v>0</v>
      </c>
      <c r="S29" s="2"/>
      <c r="T29" s="7">
        <v>64135.82</v>
      </c>
      <c r="U29" s="2"/>
      <c r="V29" s="6">
        <f t="shared" si="13"/>
        <v>0</v>
      </c>
      <c r="W29" s="2"/>
      <c r="X29" s="7">
        <f t="shared" si="14"/>
        <v>1393.7099999999991</v>
      </c>
      <c r="Y29" s="2"/>
      <c r="Z29" s="6">
        <f t="shared" si="15"/>
        <v>2.1730602337352186E-2</v>
      </c>
    </row>
    <row r="30" spans="1:26" s="29" customFormat="1" outlineLevel="1" collapsed="1" x14ac:dyDescent="0.3">
      <c r="A30" s="28"/>
      <c r="B30" s="14" t="str">
        <f>CONCATENATE("     ","Advertising/Promo                                 ")</f>
        <v xml:space="preserve">     Advertising/Promo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45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45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1" t="str">
        <f>CONCATENATE("          ", "6362", " - ", "ADVERTISING EXPENSE")</f>
        <v xml:space="preserve">          6362 - ADVERTISING EXPENSE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45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45</v>
      </c>
      <c r="Y31" s="2"/>
      <c r="Z31" s="6">
        <f t="shared" si="15"/>
        <v>0</v>
      </c>
    </row>
    <row r="32" spans="1:26" s="29" customFormat="1" outlineLevel="1" collapsed="1" x14ac:dyDescent="0.3">
      <c r="A32" s="28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170</v>
      </c>
      <c r="Q32" s="1"/>
      <c r="R32" s="5">
        <f t="shared" si="12"/>
        <v>0</v>
      </c>
      <c r="S32" s="1"/>
      <c r="T32" s="1">
        <f>SUM(OSRRefT22_3x_0)</f>
        <v>1.65</v>
      </c>
      <c r="U32" s="1"/>
      <c r="V32" s="5">
        <f t="shared" si="13"/>
        <v>0</v>
      </c>
      <c r="W32" s="1"/>
      <c r="X32" s="1">
        <f t="shared" si="14"/>
        <v>168.35</v>
      </c>
      <c r="Y32" s="1"/>
      <c r="Z32" s="5">
        <f t="shared" si="15"/>
        <v>102.03030303030303</v>
      </c>
    </row>
    <row r="33" spans="1:26" s="24" customFormat="1" hidden="1" outlineLevel="2" x14ac:dyDescent="0.3">
      <c r="A33" s="27"/>
      <c r="B33" s="11" t="str">
        <f>CONCATENATE("          ", "6279", " - ", "GENERAL EXPENSE")</f>
        <v xml:space="preserve">          6279 - GENERAL EXPENSE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170</v>
      </c>
      <c r="Q33" s="2"/>
      <c r="R33" s="6">
        <f t="shared" si="12"/>
        <v>0</v>
      </c>
      <c r="S33" s="2"/>
      <c r="T33" s="7">
        <v>1.65</v>
      </c>
      <c r="U33" s="2"/>
      <c r="V33" s="6">
        <f t="shared" si="13"/>
        <v>0</v>
      </c>
      <c r="W33" s="2"/>
      <c r="X33" s="7">
        <f t="shared" si="14"/>
        <v>168.35</v>
      </c>
      <c r="Y33" s="2"/>
      <c r="Z33" s="6">
        <f t="shared" si="15"/>
        <v>102.03030303030303</v>
      </c>
    </row>
    <row r="34" spans="1:26" s="29" customFormat="1" outlineLevel="1" collapsed="1" x14ac:dyDescent="0.3">
      <c r="A34" s="28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3500</v>
      </c>
      <c r="E34" s="1"/>
      <c r="F34" s="5">
        <f t="shared" si="8"/>
        <v>0</v>
      </c>
      <c r="G34" s="1"/>
      <c r="H34" s="1">
        <f>SUM(OSRRefH22_4x_0)</f>
        <v>3500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4"/>
      <c r="P34" s="1">
        <f>SUM(OSRRefP22_4x_0)</f>
        <v>24500</v>
      </c>
      <c r="Q34" s="1"/>
      <c r="R34" s="5">
        <f t="shared" si="12"/>
        <v>0</v>
      </c>
      <c r="S34" s="1"/>
      <c r="T34" s="1">
        <f>SUM(OSRRefT22_4x_0)</f>
        <v>7000</v>
      </c>
      <c r="U34" s="1"/>
      <c r="V34" s="5">
        <f t="shared" si="13"/>
        <v>0</v>
      </c>
      <c r="W34" s="1"/>
      <c r="X34" s="1">
        <f t="shared" si="14"/>
        <v>17500</v>
      </c>
      <c r="Y34" s="1"/>
      <c r="Z34" s="5">
        <f t="shared" si="15"/>
        <v>2.5</v>
      </c>
    </row>
    <row r="35" spans="1:26" s="24" customFormat="1" hidden="1" outlineLevel="2" x14ac:dyDescent="0.3">
      <c r="A35" s="27"/>
      <c r="B35" s="11" t="str">
        <f>CONCATENATE("          ", "6371", " - ", "COMPUTER SOFTWARE MAINTENANCE")</f>
        <v xml:space="preserve">          6371 - COMPUTER SOFTWARE MAINTENANCE</v>
      </c>
      <c r="C35" s="11"/>
      <c r="D35" s="7">
        <v>3500</v>
      </c>
      <c r="E35" s="2"/>
      <c r="F35" s="6">
        <f t="shared" si="8"/>
        <v>0</v>
      </c>
      <c r="G35" s="2"/>
      <c r="H35" s="7">
        <v>3500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24500</v>
      </c>
      <c r="Q35" s="2"/>
      <c r="R35" s="6">
        <f t="shared" si="12"/>
        <v>0</v>
      </c>
      <c r="S35" s="2"/>
      <c r="T35" s="7">
        <v>7000</v>
      </c>
      <c r="U35" s="2"/>
      <c r="V35" s="6">
        <f t="shared" si="13"/>
        <v>0</v>
      </c>
      <c r="W35" s="2"/>
      <c r="X35" s="7">
        <f t="shared" si="14"/>
        <v>17500</v>
      </c>
      <c r="Y35" s="2"/>
      <c r="Z35" s="6">
        <f t="shared" si="15"/>
        <v>2.5</v>
      </c>
    </row>
    <row r="36" spans="1:26" s="29" customFormat="1" outlineLevel="1" collapsed="1" x14ac:dyDescent="0.3">
      <c r="A36" s="28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4"/>
      <c r="P36" s="1">
        <f>SUM(OSRRefP22_5x_0)</f>
        <v>2353.0300000000002</v>
      </c>
      <c r="Q36" s="1"/>
      <c r="R36" s="5">
        <f t="shared" si="12"/>
        <v>0</v>
      </c>
      <c r="S36" s="1"/>
      <c r="T36" s="1">
        <f>SUM(OSRRefT22_5x_0)</f>
        <v>4939.2</v>
      </c>
      <c r="U36" s="1"/>
      <c r="V36" s="5">
        <f t="shared" si="13"/>
        <v>0</v>
      </c>
      <c r="W36" s="1"/>
      <c r="X36" s="1">
        <f t="shared" si="14"/>
        <v>-2586.1699999999996</v>
      </c>
      <c r="Y36" s="1"/>
      <c r="Z36" s="5">
        <f t="shared" si="15"/>
        <v>-0.52360098801425325</v>
      </c>
    </row>
    <row r="37" spans="1:26" s="24" customFormat="1" hidden="1" outlineLevel="2" x14ac:dyDescent="0.3">
      <c r="A37" s="27"/>
      <c r="B37" s="11" t="str">
        <f>CONCATENATE("          ", "6235", " - ", "COVID-19 EXPENSES")</f>
        <v xml:space="preserve">          6235 - COVID-19 EXPENSES</v>
      </c>
      <c r="C37" s="11"/>
      <c r="D37" s="7"/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4939.2</v>
      </c>
      <c r="U37" s="2"/>
      <c r="V37" s="6">
        <f t="shared" si="13"/>
        <v>0</v>
      </c>
      <c r="W37" s="2"/>
      <c r="X37" s="7">
        <f t="shared" si="14"/>
        <v>-4939.2</v>
      </c>
      <c r="Y37" s="2"/>
      <c r="Z37" s="6">
        <f t="shared" si="15"/>
        <v>-1</v>
      </c>
    </row>
    <row r="38" spans="1:26" s="24" customFormat="1" hidden="1" outlineLevel="2" x14ac:dyDescent="0.3">
      <c r="A38" s="27"/>
      <c r="B38" s="11" t="str">
        <f>CONCATENATE("          ", "6241", " - ", "OFFICE EXPENSE")</f>
        <v xml:space="preserve">          6241 - OFFICE EXPENSE</v>
      </c>
      <c r="C38" s="11"/>
      <c r="D38" s="7"/>
      <c r="E38" s="2"/>
      <c r="F38" s="6">
        <f t="shared" si="8"/>
        <v>0</v>
      </c>
      <c r="G38" s="2"/>
      <c r="H38" s="7"/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>
        <v>2353.0300000000002</v>
      </c>
      <c r="Q38" s="2"/>
      <c r="R38" s="6">
        <f t="shared" si="12"/>
        <v>0</v>
      </c>
      <c r="S38" s="2"/>
      <c r="T38" s="7"/>
      <c r="U38" s="2"/>
      <c r="V38" s="6">
        <f t="shared" si="13"/>
        <v>0</v>
      </c>
      <c r="W38" s="2"/>
      <c r="X38" s="7">
        <f t="shared" si="14"/>
        <v>2353.0300000000002</v>
      </c>
      <c r="Y38" s="2"/>
      <c r="Z38" s="6">
        <f t="shared" si="15"/>
        <v>0</v>
      </c>
    </row>
    <row r="39" spans="1:26" s="29" customFormat="1" outlineLevel="1" collapsed="1" x14ac:dyDescent="0.3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75</v>
      </c>
      <c r="E39" s="1"/>
      <c r="F39" s="5">
        <f t="shared" ref="F39:F44" si="16">IF(D$12=0,0,D39/D$12)</f>
        <v>0</v>
      </c>
      <c r="G39" s="1"/>
      <c r="H39" s="1">
        <f>SUM(OSRRefH22_6x_0)</f>
        <v>0</v>
      </c>
      <c r="I39" s="1"/>
      <c r="J39" s="5">
        <f t="shared" ref="J39:J44" si="17">IF(H$12=0,0,H39/H$12)</f>
        <v>0</v>
      </c>
      <c r="K39" s="1"/>
      <c r="L39" s="1">
        <f t="shared" ref="L39:L44" si="18">+D39-H39</f>
        <v>75</v>
      </c>
      <c r="M39" s="1"/>
      <c r="N39" s="5">
        <f t="shared" ref="N39:N44" si="19">IF(H39=0,0,L39/H39)</f>
        <v>0</v>
      </c>
      <c r="O39" s="14"/>
      <c r="P39" s="1">
        <f>SUM(OSRRefP22_6x_0)</f>
        <v>508</v>
      </c>
      <c r="Q39" s="1"/>
      <c r="R39" s="5">
        <f t="shared" ref="R39:R44" si="20">IF(P$12=0,0,P39/P$12)</f>
        <v>0</v>
      </c>
      <c r="S39" s="1"/>
      <c r="T39" s="1">
        <f>SUM(OSRRefT22_6x_0)</f>
        <v>400</v>
      </c>
      <c r="U39" s="1"/>
      <c r="V39" s="5">
        <f t="shared" ref="V39:V44" si="21">IF(T$12=0,0,T39/T$12)</f>
        <v>0</v>
      </c>
      <c r="W39" s="1"/>
      <c r="X39" s="1">
        <f t="shared" ref="X39:X44" si="22">+P39-T39</f>
        <v>108</v>
      </c>
      <c r="Y39" s="1"/>
      <c r="Z39" s="5">
        <f t="shared" ref="Z39:Z44" si="23">IF(T39=0,0,X39/T39)</f>
        <v>0.27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7">
        <v>75</v>
      </c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75</v>
      </c>
      <c r="M40" s="2"/>
      <c r="N40" s="6">
        <f t="shared" si="19"/>
        <v>0</v>
      </c>
      <c r="O40" s="11"/>
      <c r="P40" s="7">
        <v>508</v>
      </c>
      <c r="Q40" s="2"/>
      <c r="R40" s="6">
        <f t="shared" si="20"/>
        <v>0</v>
      </c>
      <c r="S40" s="2"/>
      <c r="T40" s="7">
        <v>400</v>
      </c>
      <c r="U40" s="2"/>
      <c r="V40" s="6">
        <f t="shared" si="21"/>
        <v>0</v>
      </c>
      <c r="W40" s="2"/>
      <c r="X40" s="7">
        <f t="shared" si="22"/>
        <v>108</v>
      </c>
      <c r="Y40" s="2"/>
      <c r="Z40" s="6">
        <f t="shared" si="23"/>
        <v>0.27</v>
      </c>
    </row>
    <row r="41" spans="1:26" s="29" customFormat="1" outlineLevel="1" collapsed="1" x14ac:dyDescent="0.3">
      <c r="A41" s="28"/>
      <c r="B41" s="14" t="str">
        <f>CONCATENATE("     ","Training                                          ")</f>
        <v xml:space="preserve">     Training                                          </v>
      </c>
      <c r="C41" s="14"/>
      <c r="D41" s="1">
        <f>SUM(OSRRefD22_7x_0)</f>
        <v>323.87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323.87</v>
      </c>
      <c r="M41" s="1"/>
      <c r="N41" s="5">
        <f t="shared" si="19"/>
        <v>0</v>
      </c>
      <c r="O41" s="14"/>
      <c r="P41" s="1">
        <f>SUM(OSRRefP22_7x_0)</f>
        <v>1148.8699999999999</v>
      </c>
      <c r="Q41" s="1"/>
      <c r="R41" s="5">
        <f t="shared" si="20"/>
        <v>0</v>
      </c>
      <c r="S41" s="1"/>
      <c r="T41" s="1">
        <f>SUM(OSRRefT22_7x_0)</f>
        <v>0</v>
      </c>
      <c r="U41" s="1"/>
      <c r="V41" s="5">
        <f t="shared" si="21"/>
        <v>0</v>
      </c>
      <c r="W41" s="1"/>
      <c r="X41" s="1">
        <f t="shared" si="22"/>
        <v>1148.8699999999999</v>
      </c>
      <c r="Y41" s="1"/>
      <c r="Z41" s="5">
        <f t="shared" si="23"/>
        <v>0</v>
      </c>
    </row>
    <row r="42" spans="1:26" s="24" customFormat="1" hidden="1" outlineLevel="2" x14ac:dyDescent="0.3">
      <c r="A42" s="27"/>
      <c r="B42" s="11" t="str">
        <f>CONCATENATE("          ", "6376", " - ", "TRAINING")</f>
        <v xml:space="preserve">          6376 - TRAINING</v>
      </c>
      <c r="C42" s="11"/>
      <c r="D42" s="7">
        <v>323.87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323.87</v>
      </c>
      <c r="M42" s="2"/>
      <c r="N42" s="6">
        <f t="shared" si="19"/>
        <v>0</v>
      </c>
      <c r="O42" s="11"/>
      <c r="P42" s="7">
        <v>1148.8699999999999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1148.8699999999999</v>
      </c>
      <c r="Y42" s="2"/>
      <c r="Z42" s="6">
        <f t="shared" si="23"/>
        <v>0</v>
      </c>
    </row>
    <row r="43" spans="1:26" s="29" customFormat="1" outlineLevel="1" collapsed="1" x14ac:dyDescent="0.3">
      <c r="A43" s="28"/>
      <c r="B43" s="14" t="str">
        <f>CONCATENATE("     ","Travel                                            ")</f>
        <v xml:space="preserve">     Travel                                            </v>
      </c>
      <c r="C43" s="14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SUM(OSRRefP22_8x_0)</f>
        <v>595</v>
      </c>
      <c r="Q43" s="1"/>
      <c r="R43" s="5">
        <f t="shared" si="20"/>
        <v>0</v>
      </c>
      <c r="S43" s="1"/>
      <c r="T43" s="1">
        <f>SUM(OSRRefT22_8x_0)</f>
        <v>0</v>
      </c>
      <c r="U43" s="1"/>
      <c r="V43" s="5">
        <f t="shared" si="21"/>
        <v>0</v>
      </c>
      <c r="W43" s="1"/>
      <c r="X43" s="1">
        <f t="shared" si="22"/>
        <v>595</v>
      </c>
      <c r="Y43" s="1"/>
      <c r="Z43" s="5">
        <f t="shared" si="23"/>
        <v>0</v>
      </c>
    </row>
    <row r="44" spans="1:26" s="24" customFormat="1" hidden="1" outlineLevel="2" x14ac:dyDescent="0.3">
      <c r="A44" s="27"/>
      <c r="B44" s="11" t="str">
        <f>CONCATENATE("          ", "6292", " - ", "TRAVEL/CONFERENCE")</f>
        <v xml:space="preserve">          6292 - TRAVEL/CONFERENCE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595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595</v>
      </c>
      <c r="Y44" s="2"/>
      <c r="Z44" s="6">
        <f t="shared" si="23"/>
        <v>0</v>
      </c>
    </row>
    <row r="45" spans="1:26" s="52" customFormat="1" x14ac:dyDescent="0.3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6" t="s">
        <v>292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10"/>
      <c r="B48" s="25" t="s">
        <v>276</v>
      </c>
      <c r="C48" s="25"/>
      <c r="D48" s="21">
        <f>+D16-D18+D46</f>
        <v>-20905.3</v>
      </c>
      <c r="E48" s="13"/>
      <c r="F48" s="22">
        <f>IF(D$12=0,0,D48/D$12)</f>
        <v>0</v>
      </c>
      <c r="G48" s="13"/>
      <c r="H48" s="21">
        <f>+H16-H18+H46</f>
        <v>-20118.95</v>
      </c>
      <c r="I48" s="13"/>
      <c r="J48" s="22">
        <f>IF(H$12=0,0,H48/H$12)</f>
        <v>0</v>
      </c>
      <c r="K48" s="15"/>
      <c r="L48" s="21">
        <f>+D48-H48</f>
        <v>-786.34999999999854</v>
      </c>
      <c r="M48" s="15"/>
      <c r="N48" s="22">
        <f>IF(H48=0,0,L48/H48)</f>
        <v>3.9085041714403509E-2</v>
      </c>
      <c r="O48" s="26"/>
      <c r="P48" s="21">
        <f>+P16-P18+P46</f>
        <v>-137855.43999999997</v>
      </c>
      <c r="Q48" s="13"/>
      <c r="R48" s="22">
        <f>IF(P$12=0,0,P48/P$12)</f>
        <v>0</v>
      </c>
      <c r="S48" s="13"/>
      <c r="T48" s="21">
        <f>+T16-T18+T46</f>
        <v>-117947.51999999999</v>
      </c>
      <c r="U48" s="13"/>
      <c r="V48" s="22">
        <f>IF(T$12=0,0,T48/T$12)</f>
        <v>0</v>
      </c>
      <c r="W48" s="15"/>
      <c r="X48" s="21">
        <f>+P48-T48</f>
        <v>-19907.919999999984</v>
      </c>
      <c r="Y48" s="15"/>
      <c r="Z48" s="22">
        <f>IF(T48=0,0,X48/T48)</f>
        <v>0.16878625341168671</v>
      </c>
    </row>
    <row r="49" spans="1:26" x14ac:dyDescent="0.3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51"/>
      <c r="B50" s="10" t="s">
        <v>127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3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" thickBot="1" x14ac:dyDescent="0.35">
      <c r="A52" s="10"/>
      <c r="B52" s="25" t="s">
        <v>125</v>
      </c>
      <c r="C52" s="25"/>
      <c r="D52" s="36">
        <f>+D48-D50</f>
        <v>-20905.3</v>
      </c>
      <c r="E52" s="13"/>
      <c r="F52" s="31">
        <f>IF(D$12=0,0,D52/D$12)</f>
        <v>0</v>
      </c>
      <c r="G52" s="13"/>
      <c r="H52" s="36">
        <f>+H48-H50</f>
        <v>-20118.95</v>
      </c>
      <c r="I52" s="13"/>
      <c r="J52" s="31">
        <f>IF(H$12=0,0,H52/H$12)</f>
        <v>0</v>
      </c>
      <c r="K52" s="15"/>
      <c r="L52" s="36">
        <f>D52-H52</f>
        <v>-786.34999999999854</v>
      </c>
      <c r="M52" s="15"/>
      <c r="N52" s="31">
        <f>IF(H52=0,0,L52/H52)</f>
        <v>3.9085041714403509E-2</v>
      </c>
      <c r="O52" s="26"/>
      <c r="P52" s="36">
        <f>+P48-P50</f>
        <v>-137855.43999999997</v>
      </c>
      <c r="Q52" s="13"/>
      <c r="R52" s="31">
        <f>IF(P$12=0,0,P52/P$12)</f>
        <v>0</v>
      </c>
      <c r="S52" s="13"/>
      <c r="T52" s="36">
        <f>+T48-T50</f>
        <v>-117947.51999999999</v>
      </c>
      <c r="U52" s="13"/>
      <c r="V52" s="31">
        <f>IF(T$12=0,0,T52/T$12)</f>
        <v>0</v>
      </c>
      <c r="W52" s="15"/>
      <c r="X52" s="36">
        <f>P52-T52</f>
        <v>-19907.919999999984</v>
      </c>
      <c r="Y52" s="15"/>
      <c r="Z52" s="31">
        <f>IF(T52=0,0,X52/T52)</f>
        <v>0.16878625341168671</v>
      </c>
    </row>
    <row r="53" spans="1:26" ht="15" thickTop="1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3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35">
      <c r="A55" s="10"/>
      <c r="B55" s="25" t="s">
        <v>293</v>
      </c>
      <c r="C55" s="25"/>
      <c r="D55" s="35">
        <f>SUM(D52:D54)</f>
        <v>-20905.3</v>
      </c>
      <c r="E55" s="13"/>
      <c r="F55" s="32">
        <f>IF(D$12=0,0,D55/D$12)</f>
        <v>0</v>
      </c>
      <c r="G55" s="13"/>
      <c r="H55" s="35">
        <f>SUM(H52:H54)</f>
        <v>-20118.95</v>
      </c>
      <c r="I55" s="13"/>
      <c r="J55" s="32">
        <f>IF(H$12=0,0,H55/H$12)</f>
        <v>0</v>
      </c>
      <c r="K55" s="15"/>
      <c r="L55" s="35">
        <f>+D55-H55</f>
        <v>-786.34999999999854</v>
      </c>
      <c r="M55" s="15"/>
      <c r="N55" s="32">
        <f>IF(H55=0,0,L55/H55)</f>
        <v>3.9085041714403509E-2</v>
      </c>
      <c r="O55" s="26"/>
      <c r="P55" s="35">
        <f>SUM(P52:P54)</f>
        <v>-137855.43999999997</v>
      </c>
      <c r="Q55" s="13"/>
      <c r="R55" s="32">
        <f>IF(P$12=0,0,P55/P$12)</f>
        <v>0</v>
      </c>
      <c r="S55" s="13"/>
      <c r="T55" s="35">
        <f>SUM(T52:T54)</f>
        <v>-117947.51999999999</v>
      </c>
      <c r="U55" s="13"/>
      <c r="V55" s="32">
        <f>IF(T$12=0,0,T55/T$12)</f>
        <v>0</v>
      </c>
      <c r="W55" s="15"/>
      <c r="X55" s="35">
        <f>+P55-T55</f>
        <v>-19907.919999999984</v>
      </c>
      <c r="Y55" s="15"/>
      <c r="Z55" s="32">
        <f>IF(T55=0,0,X55/T55)</f>
        <v>0.16878625341168671</v>
      </c>
    </row>
    <row r="56" spans="1:26" ht="15" thickTop="1" x14ac:dyDescent="0.3">
      <c r="A56" s="9"/>
      <c r="C56" s="9"/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54">
        <v>44604.028475694446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A58" s="9"/>
      <c r="B58" s="53" t="s">
        <v>56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A59" s="9"/>
      <c r="B59" s="5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"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","433", " - ", "Hillside Dining Hall")</f>
        <v>Department 433 - Hillside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205863.21</v>
      </c>
      <c r="E12" s="4"/>
      <c r="F12" s="12"/>
      <c r="G12" s="4"/>
      <c r="H12" s="4">
        <f>SUM(OSRRefH13x_0)</f>
        <v>-160.19999999999999</v>
      </c>
      <c r="I12" s="4"/>
      <c r="J12" s="12"/>
      <c r="K12" s="4"/>
      <c r="L12" s="4">
        <f t="shared" ref="L12:L15" si="0">+D12-H12</f>
        <v>206023.41</v>
      </c>
      <c r="M12" s="4"/>
      <c r="N12" s="12">
        <f t="shared" ref="N12:N15" si="1">IF(H12=0,0,L12/H12)</f>
        <v>-1286.0387640449439</v>
      </c>
      <c r="O12" s="10"/>
      <c r="P12" s="4">
        <f>SUM(OSRRefP13x_0)</f>
        <v>2240262.4300000002</v>
      </c>
      <c r="Q12" s="4"/>
      <c r="R12" s="12"/>
      <c r="S12" s="4"/>
      <c r="T12" s="4">
        <f>SUM(OSRRefT13x_0)</f>
        <v>23641.919999999998</v>
      </c>
      <c r="U12" s="4"/>
      <c r="V12" s="12"/>
      <c r="W12" s="4"/>
      <c r="X12" s="4">
        <f t="shared" ref="X12:X15" si="2">+P12-T12</f>
        <v>2216620.5100000002</v>
      </c>
      <c r="Y12" s="4"/>
      <c r="Z12" s="12">
        <f t="shared" ref="Z12:Z15" si="3">IF(T12=0,0,X12/T12)</f>
        <v>93.758058144177824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11.12</v>
      </c>
      <c r="M13" s="2"/>
      <c r="N13" s="19">
        <f t="shared" si="1"/>
        <v>0</v>
      </c>
      <c r="O13" s="11"/>
      <c r="P13" s="2">
        <f>--1855.11</f>
        <v>1855.11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1637.4599999999998</v>
      </c>
      <c r="Y13" s="2"/>
      <c r="Z13" s="19">
        <f t="shared" si="3"/>
        <v>7.5233631977946231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--202436.51</f>
        <v>202436.51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202436.51</v>
      </c>
      <c r="M14" s="2"/>
      <c r="N14" s="19">
        <f t="shared" si="1"/>
        <v>0</v>
      </c>
      <c r="O14" s="11"/>
      <c r="P14" s="2">
        <f>--2196691.43</f>
        <v>2196691.4300000002</v>
      </c>
      <c r="Q14" s="2"/>
      <c r="R14" s="19"/>
      <c r="S14" s="2"/>
      <c r="T14" s="2">
        <f>--16096</f>
        <v>16096</v>
      </c>
      <c r="U14" s="2"/>
      <c r="V14" s="19"/>
      <c r="W14" s="2"/>
      <c r="X14" s="2">
        <f t="shared" si="2"/>
        <v>2180595.4300000002</v>
      </c>
      <c r="Y14" s="2"/>
      <c r="Z14" s="19">
        <f t="shared" si="3"/>
        <v>135.47436816600398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--3415.58</f>
        <v>3415.58</v>
      </c>
      <c r="E15" s="2"/>
      <c r="F15" s="19"/>
      <c r="G15" s="2"/>
      <c r="H15" s="2">
        <f>-160.2</f>
        <v>-160.19999999999999</v>
      </c>
      <c r="I15" s="2"/>
      <c r="J15" s="19"/>
      <c r="K15" s="2"/>
      <c r="L15" s="2">
        <f t="shared" si="0"/>
        <v>3575.7799999999997</v>
      </c>
      <c r="M15" s="2"/>
      <c r="N15" s="19">
        <f t="shared" si="1"/>
        <v>-22.320724094881399</v>
      </c>
      <c r="O15" s="11"/>
      <c r="P15" s="2">
        <f>--41715.89</f>
        <v>41715.89</v>
      </c>
      <c r="Q15" s="2"/>
      <c r="R15" s="19"/>
      <c r="S15" s="2"/>
      <c r="T15" s="2">
        <f>--7328.27</f>
        <v>7328.27</v>
      </c>
      <c r="U15" s="2"/>
      <c r="V15" s="19"/>
      <c r="W15" s="2"/>
      <c r="X15" s="2">
        <f t="shared" si="2"/>
        <v>34387.619999999995</v>
      </c>
      <c r="Y15" s="2"/>
      <c r="Z15" s="19">
        <f t="shared" si="3"/>
        <v>4.6924608400072589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33441.17</v>
      </c>
      <c r="E17" s="4"/>
      <c r="F17" s="12">
        <f t="shared" ref="F17:F19" si="5">IF(D$12=0,0,D17/D$12)</f>
        <v>0.16244364401002004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33441.17</v>
      </c>
      <c r="M17" s="4"/>
      <c r="N17" s="12">
        <f t="shared" ref="N17:N19" si="8">IF(H17=0,0,L17/H17)</f>
        <v>0</v>
      </c>
      <c r="O17" s="10"/>
      <c r="P17" s="4">
        <f>SUM(OSRRefP16x_0)</f>
        <v>567178.47</v>
      </c>
      <c r="Q17" s="4"/>
      <c r="R17" s="12">
        <f t="shared" ref="R17:R19" si="9">IF(P$12=0,0,P17/P$12)</f>
        <v>0.25317501307201762</v>
      </c>
      <c r="S17" s="4"/>
      <c r="T17" s="4">
        <f>SUM(OSRRefT16x_0)</f>
        <v>25322.92</v>
      </c>
      <c r="U17" s="4"/>
      <c r="V17" s="12">
        <f t="shared" ref="V17:V19" si="10">IF(T$12=0,0,T17/T$12)</f>
        <v>1.0711025162084975</v>
      </c>
      <c r="W17" s="4"/>
      <c r="X17" s="4">
        <f t="shared" ref="X17:X19" si="11">+P17-T17</f>
        <v>541855.54999999993</v>
      </c>
      <c r="Y17" s="4"/>
      <c r="Z17" s="12">
        <f t="shared" ref="Z17:Z19" si="12">IF(T17=0,0,X17/T17)</f>
        <v>21.397830502959373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47573.17</v>
      </c>
      <c r="E18" s="2"/>
      <c r="F18" s="19">
        <f t="shared" si="5"/>
        <v>0.23109116971410287</v>
      </c>
      <c r="G18" s="2"/>
      <c r="H18" s="2"/>
      <c r="I18" s="2"/>
      <c r="J18" s="19">
        <f t="shared" si="6"/>
        <v>0</v>
      </c>
      <c r="K18" s="2"/>
      <c r="L18" s="2">
        <f t="shared" si="7"/>
        <v>47573.17</v>
      </c>
      <c r="M18" s="2"/>
      <c r="N18" s="19">
        <f t="shared" si="8"/>
        <v>0</v>
      </c>
      <c r="O18" s="11"/>
      <c r="P18" s="2">
        <v>588364.47</v>
      </c>
      <c r="Q18" s="2"/>
      <c r="R18" s="19">
        <f t="shared" si="9"/>
        <v>0.26263194084810854</v>
      </c>
      <c r="S18" s="2"/>
      <c r="T18" s="2">
        <v>14410.92</v>
      </c>
      <c r="U18" s="2"/>
      <c r="V18" s="19">
        <f t="shared" si="10"/>
        <v>0.60954947821496741</v>
      </c>
      <c r="W18" s="2"/>
      <c r="X18" s="2">
        <f t="shared" si="11"/>
        <v>573953.54999999993</v>
      </c>
      <c r="Y18" s="2"/>
      <c r="Z18" s="19">
        <f t="shared" si="12"/>
        <v>39.827682757242421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-14132</v>
      </c>
      <c r="E19" s="2"/>
      <c r="F19" s="19">
        <f t="shared" si="5"/>
        <v>-6.8647525704082821E-2</v>
      </c>
      <c r="G19" s="2"/>
      <c r="H19" s="2"/>
      <c r="I19" s="2"/>
      <c r="J19" s="19">
        <f t="shared" si="6"/>
        <v>0</v>
      </c>
      <c r="K19" s="2"/>
      <c r="L19" s="2">
        <f t="shared" si="7"/>
        <v>-14132</v>
      </c>
      <c r="M19" s="2"/>
      <c r="N19" s="19">
        <f t="shared" si="8"/>
        <v>0</v>
      </c>
      <c r="O19" s="11"/>
      <c r="P19" s="2">
        <v>-21186</v>
      </c>
      <c r="Q19" s="2"/>
      <c r="R19" s="19">
        <f t="shared" si="9"/>
        <v>-9.4569277760909454E-3</v>
      </c>
      <c r="S19" s="2"/>
      <c r="T19" s="2">
        <v>10912</v>
      </c>
      <c r="U19" s="2"/>
      <c r="V19" s="19">
        <f t="shared" si="10"/>
        <v>0.46155303799353015</v>
      </c>
      <c r="W19" s="2"/>
      <c r="X19" s="2">
        <f t="shared" si="11"/>
        <v>-32098</v>
      </c>
      <c r="Y19" s="2"/>
      <c r="Z19" s="19">
        <f t="shared" si="12"/>
        <v>-2.941532258064516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172422.03999999998</v>
      </c>
      <c r="E21" s="13"/>
      <c r="F21" s="22">
        <f>IF(D$12=0,0,D21/D$12)</f>
        <v>0.83755635598997991</v>
      </c>
      <c r="G21" s="13"/>
      <c r="H21" s="21">
        <f>H12-H17</f>
        <v>-160.19999999999999</v>
      </c>
      <c r="I21" s="13"/>
      <c r="J21" s="22">
        <f>IF(H$12=0,0,H21/H$12)</f>
        <v>1</v>
      </c>
      <c r="K21" s="15"/>
      <c r="L21" s="21">
        <f>+D21-H21</f>
        <v>172582.24</v>
      </c>
      <c r="M21" s="15"/>
      <c r="N21" s="22">
        <f>IF(H21=0,0,L21/H21)</f>
        <v>-1077.2923845193509</v>
      </c>
      <c r="O21" s="26"/>
      <c r="P21" s="21">
        <f>P12-P17</f>
        <v>1673083.9600000002</v>
      </c>
      <c r="Q21" s="13"/>
      <c r="R21" s="22">
        <f>IF(P$12=0,0,P21/P$12)</f>
        <v>0.74682498692798238</v>
      </c>
      <c r="S21" s="13"/>
      <c r="T21" s="21">
        <f>T12-T17</f>
        <v>-1681</v>
      </c>
      <c r="U21" s="13"/>
      <c r="V21" s="22">
        <f>IF(T$12=0,0,T21/T$12)</f>
        <v>-7.110251620849746E-2</v>
      </c>
      <c r="W21" s="15"/>
      <c r="X21" s="21">
        <f>+P21-T21</f>
        <v>1674764.9600000002</v>
      </c>
      <c r="Y21" s="15"/>
      <c r="Z21" s="22">
        <f>IF(T21=0,0,X21/T21)</f>
        <v>-996.29087447947666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126154.28000000001</v>
      </c>
      <c r="E23" s="20"/>
      <c r="F23" s="30">
        <f t="shared" ref="F23:F33" si="13">IF(D$12=0,0,D23/D$12)</f>
        <v>0.61280633873337553</v>
      </c>
      <c r="G23" s="20"/>
      <c r="H23" s="20">
        <f>SUM(OSRRefH22x_0)</f>
        <v>51225.53</v>
      </c>
      <c r="I23" s="20"/>
      <c r="J23" s="30">
        <f t="shared" ref="J23:J33" si="14">IF(H$12=0,0,H23/H$12)</f>
        <v>-319.75986267166041</v>
      </c>
      <c r="K23" s="4"/>
      <c r="L23" s="20">
        <f t="shared" ref="L23:L33" si="15">+D23-H23</f>
        <v>74928.750000000015</v>
      </c>
      <c r="M23" s="4"/>
      <c r="N23" s="30">
        <f t="shared" ref="N23:N33" si="16">IF(H23=0,0,L23/H23)</f>
        <v>1.4627227868603803</v>
      </c>
      <c r="O23" s="10"/>
      <c r="P23" s="20">
        <f>SUM(OSRRefP22x_0)</f>
        <v>928196.16999999981</v>
      </c>
      <c r="Q23" s="20"/>
      <c r="R23" s="30">
        <f t="shared" ref="R23:R33" si="17">IF(P$12=0,0,P23/P$12)</f>
        <v>0.4143247494446442</v>
      </c>
      <c r="S23" s="20"/>
      <c r="T23" s="20">
        <f>SUM(OSRRefT22x_0)</f>
        <v>368309.79000000004</v>
      </c>
      <c r="U23" s="20"/>
      <c r="V23" s="30">
        <f t="shared" ref="V23:V33" si="18">IF(T$12=0,0,T23/T$12)</f>
        <v>15.578675082226827</v>
      </c>
      <c r="W23" s="4"/>
      <c r="X23" s="20">
        <f t="shared" ref="X23:X33" si="19">+P23-T23</f>
        <v>559886.37999999977</v>
      </c>
      <c r="Y23" s="4"/>
      <c r="Z23" s="30">
        <f t="shared" ref="Z23:Z33" si="20">IF(T23=0,0,X23/T23)</f>
        <v>1.5201506861927285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31208.34</v>
      </c>
      <c r="E24" s="1"/>
      <c r="F24" s="5">
        <f t="shared" si="13"/>
        <v>0.15159746124623238</v>
      </c>
      <c r="G24" s="1"/>
      <c r="H24" s="1">
        <f>SUM(OSRRefH22_0x_0)</f>
        <v>20342.16</v>
      </c>
      <c r="I24" s="1"/>
      <c r="J24" s="5">
        <f t="shared" si="14"/>
        <v>-126.97977528089888</v>
      </c>
      <c r="K24" s="1"/>
      <c r="L24" s="1">
        <f t="shared" si="15"/>
        <v>10866.18</v>
      </c>
      <c r="M24" s="1"/>
      <c r="N24" s="5">
        <f t="shared" si="16"/>
        <v>0.53417041258155473</v>
      </c>
      <c r="O24" s="14"/>
      <c r="P24" s="1">
        <f>SUM(OSRRefP22_0x_0)</f>
        <v>185429.54</v>
      </c>
      <c r="Q24" s="1"/>
      <c r="R24" s="5">
        <f t="shared" si="17"/>
        <v>8.2771347462181025E-2</v>
      </c>
      <c r="S24" s="1"/>
      <c r="T24" s="1">
        <f>SUM(OSRRefT22_0x_0)</f>
        <v>146610.79</v>
      </c>
      <c r="U24" s="1"/>
      <c r="V24" s="5">
        <f t="shared" si="18"/>
        <v>6.2013064082781781</v>
      </c>
      <c r="W24" s="1"/>
      <c r="X24" s="1">
        <f t="shared" si="19"/>
        <v>38818.75</v>
      </c>
      <c r="Y24" s="1"/>
      <c r="Z24" s="5">
        <f t="shared" si="20"/>
        <v>0.26477416839510926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2725.29</v>
      </c>
      <c r="E25" s="2"/>
      <c r="F25" s="6">
        <f t="shared" si="13"/>
        <v>1.3238353759275396E-2</v>
      </c>
      <c r="G25" s="2"/>
      <c r="H25" s="7">
        <v>1819.55</v>
      </c>
      <c r="I25" s="2"/>
      <c r="J25" s="6">
        <f t="shared" si="14"/>
        <v>-11.357990012484395</v>
      </c>
      <c r="K25" s="2"/>
      <c r="L25" s="7">
        <f t="shared" si="15"/>
        <v>905.74</v>
      </c>
      <c r="M25" s="2"/>
      <c r="N25" s="6">
        <f t="shared" si="16"/>
        <v>0.49778241872990575</v>
      </c>
      <c r="O25" s="11"/>
      <c r="P25" s="7">
        <v>23086.78</v>
      </c>
      <c r="Q25" s="2"/>
      <c r="R25" s="6">
        <f t="shared" si="17"/>
        <v>1.0305390873336208E-2</v>
      </c>
      <c r="S25" s="2"/>
      <c r="T25" s="7">
        <v>14346.37</v>
      </c>
      <c r="U25" s="2"/>
      <c r="V25" s="6">
        <f t="shared" si="18"/>
        <v>0.60681915851166068</v>
      </c>
      <c r="W25" s="2"/>
      <c r="X25" s="7">
        <f t="shared" si="19"/>
        <v>8740.409999999998</v>
      </c>
      <c r="Y25" s="2"/>
      <c r="Z25" s="6">
        <f t="shared" si="20"/>
        <v>0.60924191973300545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1327.72</v>
      </c>
      <c r="E26" s="2"/>
      <c r="F26" s="6">
        <f t="shared" si="13"/>
        <v>6.4495253911565848E-3</v>
      </c>
      <c r="G26" s="2"/>
      <c r="H26" s="7">
        <v>357.19</v>
      </c>
      <c r="I26" s="2"/>
      <c r="J26" s="6">
        <f t="shared" si="14"/>
        <v>-2.2296504369538077</v>
      </c>
      <c r="K26" s="2"/>
      <c r="L26" s="7">
        <f t="shared" si="15"/>
        <v>970.53</v>
      </c>
      <c r="M26" s="2"/>
      <c r="N26" s="6">
        <f t="shared" si="16"/>
        <v>2.7171253394551917</v>
      </c>
      <c r="O26" s="11"/>
      <c r="P26" s="7">
        <v>13947.2</v>
      </c>
      <c r="Q26" s="2"/>
      <c r="R26" s="6">
        <f t="shared" si="17"/>
        <v>6.2256991918576256E-3</v>
      </c>
      <c r="S26" s="2"/>
      <c r="T26" s="7">
        <v>8166.34</v>
      </c>
      <c r="U26" s="2"/>
      <c r="V26" s="6">
        <f t="shared" si="18"/>
        <v>0.34541780024634211</v>
      </c>
      <c r="W26" s="2"/>
      <c r="X26" s="7">
        <f t="shared" si="19"/>
        <v>5780.8600000000006</v>
      </c>
      <c r="Y26" s="2"/>
      <c r="Z26" s="6">
        <f t="shared" si="20"/>
        <v>0.7078887237122139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14440.91</v>
      </c>
      <c r="E27" s="2"/>
      <c r="F27" s="6">
        <f t="shared" si="13"/>
        <v>7.0148085226107187E-2</v>
      </c>
      <c r="G27" s="2"/>
      <c r="H27" s="7">
        <v>12552.45</v>
      </c>
      <c r="I27" s="2"/>
      <c r="J27" s="6">
        <f t="shared" si="14"/>
        <v>-78.354868913857686</v>
      </c>
      <c r="K27" s="2"/>
      <c r="L27" s="7">
        <f t="shared" si="15"/>
        <v>1888.4599999999991</v>
      </c>
      <c r="M27" s="2"/>
      <c r="N27" s="6">
        <f t="shared" si="16"/>
        <v>0.1504455305537962</v>
      </c>
      <c r="O27" s="11"/>
      <c r="P27" s="7">
        <v>93969.06</v>
      </c>
      <c r="Q27" s="2"/>
      <c r="R27" s="6">
        <f t="shared" si="17"/>
        <v>4.1945559029885615E-2</v>
      </c>
      <c r="S27" s="2"/>
      <c r="T27" s="7">
        <v>85011.58</v>
      </c>
      <c r="U27" s="2"/>
      <c r="V27" s="6">
        <f t="shared" si="18"/>
        <v>3.5957984799880891</v>
      </c>
      <c r="W27" s="2"/>
      <c r="X27" s="7">
        <f t="shared" si="19"/>
        <v>8957.4799999999959</v>
      </c>
      <c r="Y27" s="2"/>
      <c r="Z27" s="6">
        <f t="shared" si="20"/>
        <v>0.1053677628388979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95.89</v>
      </c>
      <c r="E28" s="2"/>
      <c r="F28" s="6">
        <f t="shared" si="13"/>
        <v>4.657947381661833E-4</v>
      </c>
      <c r="G28" s="2"/>
      <c r="H28" s="7">
        <v>125.74</v>
      </c>
      <c r="I28" s="2"/>
      <c r="J28" s="6">
        <f t="shared" si="14"/>
        <v>-0.78489388264669169</v>
      </c>
      <c r="K28" s="2"/>
      <c r="L28" s="7">
        <f t="shared" si="15"/>
        <v>-29.849999999999994</v>
      </c>
      <c r="M28" s="2"/>
      <c r="N28" s="6">
        <f t="shared" si="16"/>
        <v>-0.23739462382694446</v>
      </c>
      <c r="O28" s="11"/>
      <c r="P28" s="7">
        <v>1007.31</v>
      </c>
      <c r="Q28" s="2"/>
      <c r="R28" s="6">
        <f t="shared" si="17"/>
        <v>4.4963928623308649E-4</v>
      </c>
      <c r="S28" s="2"/>
      <c r="T28" s="7">
        <v>494.93</v>
      </c>
      <c r="U28" s="2"/>
      <c r="V28" s="6">
        <f t="shared" si="18"/>
        <v>2.0934424953641669E-2</v>
      </c>
      <c r="W28" s="2"/>
      <c r="X28" s="7">
        <f t="shared" si="19"/>
        <v>512.37999999999988</v>
      </c>
      <c r="Y28" s="2"/>
      <c r="Z28" s="6">
        <f t="shared" si="20"/>
        <v>1.0352575111631945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988.61</v>
      </c>
      <c r="E29" s="2"/>
      <c r="F29" s="6">
        <f t="shared" si="13"/>
        <v>4.8022665147405405E-3</v>
      </c>
      <c r="G29" s="2"/>
      <c r="H29" s="7">
        <v>1343.57</v>
      </c>
      <c r="I29" s="2"/>
      <c r="J29" s="6">
        <f t="shared" si="14"/>
        <v>-8.3868289637952564</v>
      </c>
      <c r="K29" s="2"/>
      <c r="L29" s="7">
        <f t="shared" si="15"/>
        <v>-354.95999999999992</v>
      </c>
      <c r="M29" s="2"/>
      <c r="N29" s="6">
        <f t="shared" si="16"/>
        <v>-0.26419166846535719</v>
      </c>
      <c r="O29" s="11"/>
      <c r="P29" s="7">
        <v>9133.4699999999993</v>
      </c>
      <c r="Q29" s="2"/>
      <c r="R29" s="6">
        <f t="shared" si="17"/>
        <v>4.0769643224343134E-3</v>
      </c>
      <c r="S29" s="2"/>
      <c r="T29" s="7">
        <v>7680.75</v>
      </c>
      <c r="U29" s="2"/>
      <c r="V29" s="6">
        <f t="shared" si="18"/>
        <v>0.32487843626913554</v>
      </c>
      <c r="W29" s="2"/>
      <c r="X29" s="7">
        <f t="shared" si="19"/>
        <v>1452.7199999999993</v>
      </c>
      <c r="Y29" s="2"/>
      <c r="Z29" s="6">
        <f t="shared" si="20"/>
        <v>0.18913777951371927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764.11</v>
      </c>
      <c r="E30" s="2"/>
      <c r="F30" s="6">
        <f t="shared" si="13"/>
        <v>3.7117365458354604E-3</v>
      </c>
      <c r="G30" s="2"/>
      <c r="H30" s="7">
        <v>357.29</v>
      </c>
      <c r="I30" s="2"/>
      <c r="J30" s="6">
        <f t="shared" si="14"/>
        <v>-2.2302746566791511</v>
      </c>
      <c r="K30" s="2"/>
      <c r="L30" s="7">
        <f t="shared" si="15"/>
        <v>406.82</v>
      </c>
      <c r="M30" s="2"/>
      <c r="N30" s="6">
        <f t="shared" si="16"/>
        <v>1.1386268857230819</v>
      </c>
      <c r="O30" s="11"/>
      <c r="P30" s="7">
        <v>3646.31</v>
      </c>
      <c r="Q30" s="2"/>
      <c r="R30" s="6">
        <f t="shared" si="17"/>
        <v>1.627626277694618E-3</v>
      </c>
      <c r="S30" s="2"/>
      <c r="T30" s="7">
        <v>2746.38</v>
      </c>
      <c r="U30" s="2"/>
      <c r="V30" s="6">
        <f t="shared" si="18"/>
        <v>0.1161656921265278</v>
      </c>
      <c r="W30" s="2"/>
      <c r="X30" s="7">
        <f t="shared" si="19"/>
        <v>899.92999999999984</v>
      </c>
      <c r="Y30" s="2"/>
      <c r="Z30" s="6">
        <f t="shared" si="20"/>
        <v>0.32767861694303041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4595.7299999999996</v>
      </c>
      <c r="E31" s="2"/>
      <c r="F31" s="6">
        <f t="shared" si="13"/>
        <v>2.2324192846307992E-2</v>
      </c>
      <c r="G31" s="2"/>
      <c r="H31" s="7">
        <v>1863.03</v>
      </c>
      <c r="I31" s="2"/>
      <c r="J31" s="6">
        <f t="shared" si="14"/>
        <v>-11.629400749063672</v>
      </c>
      <c r="K31" s="2"/>
      <c r="L31" s="7">
        <f t="shared" si="15"/>
        <v>2732.7</v>
      </c>
      <c r="M31" s="2"/>
      <c r="N31" s="6">
        <f t="shared" si="16"/>
        <v>1.4668040772290301</v>
      </c>
      <c r="O31" s="11"/>
      <c r="P31" s="7">
        <v>17466.71</v>
      </c>
      <c r="Q31" s="2"/>
      <c r="R31" s="6">
        <f t="shared" si="17"/>
        <v>7.7967249577988043E-3</v>
      </c>
      <c r="S31" s="2"/>
      <c r="T31" s="7">
        <v>13715.68</v>
      </c>
      <c r="U31" s="2"/>
      <c r="V31" s="6">
        <f t="shared" si="18"/>
        <v>0.58014239114251298</v>
      </c>
      <c r="W31" s="2"/>
      <c r="X31" s="7">
        <f t="shared" si="19"/>
        <v>3751.0299999999988</v>
      </c>
      <c r="Y31" s="2"/>
      <c r="Z31" s="6">
        <f t="shared" si="20"/>
        <v>0.27348479987867891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5569.79</v>
      </c>
      <c r="E32" s="2"/>
      <c r="F32" s="6">
        <f t="shared" si="13"/>
        <v>2.7055781360836646E-2</v>
      </c>
      <c r="G32" s="2"/>
      <c r="H32" s="7">
        <v>1214.78</v>
      </c>
      <c r="I32" s="2"/>
      <c r="J32" s="6">
        <f t="shared" si="14"/>
        <v>-7.582896379525593</v>
      </c>
      <c r="K32" s="2"/>
      <c r="L32" s="7">
        <f t="shared" si="15"/>
        <v>4355.01</v>
      </c>
      <c r="M32" s="2"/>
      <c r="N32" s="6">
        <f t="shared" si="16"/>
        <v>3.5850195097054613</v>
      </c>
      <c r="O32" s="11"/>
      <c r="P32" s="7">
        <v>15320.06</v>
      </c>
      <c r="Q32" s="2"/>
      <c r="R32" s="6">
        <f t="shared" si="17"/>
        <v>6.8385113256575029E-3</v>
      </c>
      <c r="S32" s="2"/>
      <c r="T32" s="7">
        <v>8974.69</v>
      </c>
      <c r="U32" s="2"/>
      <c r="V32" s="6">
        <f t="shared" si="18"/>
        <v>0.37960918571757291</v>
      </c>
      <c r="W32" s="2"/>
      <c r="X32" s="7">
        <f t="shared" si="19"/>
        <v>6345.369999999999</v>
      </c>
      <c r="Y32" s="2"/>
      <c r="Z32" s="6">
        <f t="shared" si="20"/>
        <v>0.70702943499998316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700.29</v>
      </c>
      <c r="E33" s="2"/>
      <c r="F33" s="6">
        <f t="shared" si="13"/>
        <v>3.401724863806408E-3</v>
      </c>
      <c r="G33" s="2"/>
      <c r="H33" s="7">
        <v>708.56</v>
      </c>
      <c r="I33" s="2"/>
      <c r="J33" s="6">
        <f t="shared" si="14"/>
        <v>-4.4229712858926344</v>
      </c>
      <c r="K33" s="2"/>
      <c r="L33" s="7">
        <f t="shared" si="15"/>
        <v>-8.2699999999999818</v>
      </c>
      <c r="M33" s="2"/>
      <c r="N33" s="6">
        <f t="shared" si="16"/>
        <v>-1.1671559218697052E-2</v>
      </c>
      <c r="O33" s="11"/>
      <c r="P33" s="7">
        <v>7852.64</v>
      </c>
      <c r="Q33" s="2"/>
      <c r="R33" s="6">
        <f t="shared" si="17"/>
        <v>3.505232197283244E-3</v>
      </c>
      <c r="S33" s="2"/>
      <c r="T33" s="7">
        <v>5474.07</v>
      </c>
      <c r="U33" s="2"/>
      <c r="V33" s="6">
        <f t="shared" si="18"/>
        <v>0.23154083932269462</v>
      </c>
      <c r="W33" s="2"/>
      <c r="X33" s="7">
        <f t="shared" si="19"/>
        <v>2378.5700000000006</v>
      </c>
      <c r="Y33" s="2"/>
      <c r="Z33" s="6">
        <f t="shared" si="20"/>
        <v>0.4345158172986463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62671.24</v>
      </c>
      <c r="E34" s="1"/>
      <c r="F34" s="5">
        <f t="shared" ref="F34:F39" si="21">IF(D$12=0,0,D34/D$12)</f>
        <v>0.30443147175252927</v>
      </c>
      <c r="G34" s="1"/>
      <c r="H34" s="1">
        <f>SUM(OSRRefH22_1x_0)</f>
        <v>23703.85</v>
      </c>
      <c r="I34" s="1"/>
      <c r="J34" s="5">
        <f t="shared" ref="J34:J39" si="22">IF(H$12=0,0,H34/H$12)</f>
        <v>-147.96410736579276</v>
      </c>
      <c r="K34" s="1"/>
      <c r="L34" s="1">
        <f t="shared" ref="L34:L39" si="23">+D34-H34</f>
        <v>38967.39</v>
      </c>
      <c r="M34" s="1"/>
      <c r="N34" s="5">
        <f t="shared" ref="N34:N39" si="24">IF(H34=0,0,L34/H34)</f>
        <v>1.6439266195153952</v>
      </c>
      <c r="O34" s="14"/>
      <c r="P34" s="1">
        <f>SUM(OSRRefP22_1x_0)</f>
        <v>438617.44000000006</v>
      </c>
      <c r="Q34" s="1"/>
      <c r="R34" s="5">
        <f t="shared" ref="R34:R39" si="25">IF(P$12=0,0,P34/P$12)</f>
        <v>0.19578841930585786</v>
      </c>
      <c r="S34" s="1"/>
      <c r="T34" s="1">
        <f>SUM(OSRRefT22_1x_0)</f>
        <v>158824.10999999999</v>
      </c>
      <c r="U34" s="1"/>
      <c r="V34" s="5">
        <f t="shared" ref="V34:V39" si="26">IF(T$12=0,0,T34/T$12)</f>
        <v>6.7179023531083768</v>
      </c>
      <c r="W34" s="1"/>
      <c r="X34" s="1">
        <f t="shared" ref="X34:X39" si="27">+P34-T34</f>
        <v>279793.33000000007</v>
      </c>
      <c r="Y34" s="1"/>
      <c r="Z34" s="5">
        <f t="shared" ref="Z34:Z39" si="28">IF(T34=0,0,X34/T34)</f>
        <v>1.7616552675787076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10425.129999999999</v>
      </c>
      <c r="E35" s="2"/>
      <c r="F35" s="6">
        <f t="shared" si="21"/>
        <v>5.0641054319516342E-2</v>
      </c>
      <c r="G35" s="2"/>
      <c r="H35" s="7">
        <v>9600.02</v>
      </c>
      <c r="I35" s="2"/>
      <c r="J35" s="6">
        <f t="shared" si="22"/>
        <v>-59.925218476903879</v>
      </c>
      <c r="K35" s="2"/>
      <c r="L35" s="7">
        <f t="shared" si="23"/>
        <v>825.10999999999876</v>
      </c>
      <c r="M35" s="2"/>
      <c r="N35" s="6">
        <f t="shared" si="24"/>
        <v>8.594877927337638E-2</v>
      </c>
      <c r="O35" s="11"/>
      <c r="P35" s="7">
        <v>96212.85</v>
      </c>
      <c r="Q35" s="2"/>
      <c r="R35" s="6">
        <f t="shared" si="25"/>
        <v>4.2947133653444339E-2</v>
      </c>
      <c r="S35" s="2"/>
      <c r="T35" s="7">
        <v>64350.75</v>
      </c>
      <c r="U35" s="2"/>
      <c r="V35" s="6">
        <f t="shared" si="26"/>
        <v>2.7218918768018843</v>
      </c>
      <c r="W35" s="2"/>
      <c r="X35" s="7">
        <f t="shared" si="27"/>
        <v>31862.100000000006</v>
      </c>
      <c r="Y35" s="2"/>
      <c r="Z35" s="6">
        <f t="shared" si="28"/>
        <v>0.49513175837111467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20824.939999999999</v>
      </c>
      <c r="E36" s="2"/>
      <c r="F36" s="6">
        <f t="shared" si="21"/>
        <v>0.10115911434588044</v>
      </c>
      <c r="G36" s="2"/>
      <c r="H36" s="7">
        <v>11503.83</v>
      </c>
      <c r="I36" s="2"/>
      <c r="J36" s="6">
        <f t="shared" si="22"/>
        <v>-71.809176029962558</v>
      </c>
      <c r="K36" s="2"/>
      <c r="L36" s="7">
        <f t="shared" si="23"/>
        <v>9321.1099999999988</v>
      </c>
      <c r="M36" s="2"/>
      <c r="N36" s="6">
        <f t="shared" si="24"/>
        <v>0.81026145205553268</v>
      </c>
      <c r="O36" s="11"/>
      <c r="P36" s="7">
        <v>151040.87</v>
      </c>
      <c r="Q36" s="2"/>
      <c r="R36" s="6">
        <f t="shared" si="25"/>
        <v>6.7421061022748113E-2</v>
      </c>
      <c r="S36" s="2"/>
      <c r="T36" s="7">
        <v>91873.36</v>
      </c>
      <c r="U36" s="2"/>
      <c r="V36" s="6">
        <f t="shared" si="26"/>
        <v>3.8860363286907327</v>
      </c>
      <c r="W36" s="2"/>
      <c r="X36" s="7">
        <f t="shared" si="27"/>
        <v>59167.509999999995</v>
      </c>
      <c r="Y36" s="2"/>
      <c r="Z36" s="6">
        <f t="shared" si="28"/>
        <v>0.64401160466973228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12820.75</v>
      </c>
      <c r="E37" s="2"/>
      <c r="F37" s="6">
        <f t="shared" si="21"/>
        <v>6.2278004894609391E-2</v>
      </c>
      <c r="G37" s="2"/>
      <c r="H37" s="7"/>
      <c r="I37" s="2"/>
      <c r="J37" s="6">
        <f t="shared" si="22"/>
        <v>0</v>
      </c>
      <c r="K37" s="2"/>
      <c r="L37" s="7">
        <f t="shared" si="23"/>
        <v>12820.75</v>
      </c>
      <c r="M37" s="2"/>
      <c r="N37" s="6">
        <f t="shared" si="24"/>
        <v>0</v>
      </c>
      <c r="O37" s="11"/>
      <c r="P37" s="7">
        <v>79943.23</v>
      </c>
      <c r="Q37" s="2"/>
      <c r="R37" s="6">
        <f t="shared" si="25"/>
        <v>3.5684761271472999E-2</v>
      </c>
      <c r="S37" s="2"/>
      <c r="T37" s="7"/>
      <c r="U37" s="2"/>
      <c r="V37" s="6">
        <f t="shared" si="26"/>
        <v>0</v>
      </c>
      <c r="W37" s="2"/>
      <c r="X37" s="7">
        <f t="shared" si="27"/>
        <v>79943.23</v>
      </c>
      <c r="Y37" s="2"/>
      <c r="Z37" s="6">
        <f t="shared" si="28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16826.29</v>
      </c>
      <c r="E38" s="2"/>
      <c r="F38" s="6">
        <f t="shared" si="21"/>
        <v>8.1735294033353514E-2</v>
      </c>
      <c r="G38" s="2"/>
      <c r="H38" s="7">
        <v>2600</v>
      </c>
      <c r="I38" s="2"/>
      <c r="J38" s="6">
        <f t="shared" si="22"/>
        <v>-16.229712858926344</v>
      </c>
      <c r="K38" s="2"/>
      <c r="L38" s="7">
        <f t="shared" si="23"/>
        <v>14226.29</v>
      </c>
      <c r="M38" s="2"/>
      <c r="N38" s="6">
        <f t="shared" si="24"/>
        <v>5.4716500000000003</v>
      </c>
      <c r="O38" s="11"/>
      <c r="P38" s="7">
        <v>91698.85</v>
      </c>
      <c r="Q38" s="2"/>
      <c r="R38" s="6">
        <f t="shared" si="25"/>
        <v>4.093219114512401E-2</v>
      </c>
      <c r="S38" s="2"/>
      <c r="T38" s="7">
        <v>2600</v>
      </c>
      <c r="U38" s="2"/>
      <c r="V38" s="6">
        <f t="shared" si="26"/>
        <v>0.10997414761576049</v>
      </c>
      <c r="W38" s="2"/>
      <c r="X38" s="7">
        <f t="shared" si="27"/>
        <v>89098.85</v>
      </c>
      <c r="Y38" s="2"/>
      <c r="Z38" s="6">
        <f t="shared" si="28"/>
        <v>34.268788461538463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1774.13</v>
      </c>
      <c r="E39" s="2"/>
      <c r="F39" s="6">
        <f t="shared" si="21"/>
        <v>8.6180041591695771E-3</v>
      </c>
      <c r="G39" s="2"/>
      <c r="H39" s="7"/>
      <c r="I39" s="2"/>
      <c r="J39" s="6">
        <f t="shared" si="22"/>
        <v>0</v>
      </c>
      <c r="K39" s="2"/>
      <c r="L39" s="7">
        <f t="shared" si="23"/>
        <v>1774.13</v>
      </c>
      <c r="M39" s="2"/>
      <c r="N39" s="6">
        <f t="shared" si="24"/>
        <v>0</v>
      </c>
      <c r="O39" s="11"/>
      <c r="P39" s="7">
        <v>19721.64</v>
      </c>
      <c r="Q39" s="2"/>
      <c r="R39" s="6">
        <f t="shared" si="25"/>
        <v>8.803272213068359E-3</v>
      </c>
      <c r="S39" s="2"/>
      <c r="T39" s="7"/>
      <c r="U39" s="2"/>
      <c r="V39" s="6">
        <f t="shared" si="26"/>
        <v>0</v>
      </c>
      <c r="W39" s="2"/>
      <c r="X39" s="7">
        <f t="shared" si="27"/>
        <v>19721.64</v>
      </c>
      <c r="Y39" s="2"/>
      <c r="Z39" s="6">
        <f t="shared" si="28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78.739999999999995</v>
      </c>
      <c r="E40" s="1"/>
      <c r="F40" s="5">
        <f t="shared" ref="F40:F60" si="29">IF(D$12=0,0,D40/D$12)</f>
        <v>3.8248699221196442E-4</v>
      </c>
      <c r="G40" s="1"/>
      <c r="H40" s="1">
        <f>SUM(OSRRefH22_2x_0)</f>
        <v>0</v>
      </c>
      <c r="I40" s="1"/>
      <c r="J40" s="5">
        <f t="shared" ref="J40:J60" si="30">IF(H$12=0,0,H40/H$12)</f>
        <v>0</v>
      </c>
      <c r="K40" s="1"/>
      <c r="L40" s="1">
        <f t="shared" ref="L40:L60" si="31">+D40-H40</f>
        <v>78.739999999999995</v>
      </c>
      <c r="M40" s="1"/>
      <c r="N40" s="5">
        <f t="shared" ref="N40:N60" si="32">IF(H40=0,0,L40/H40)</f>
        <v>0</v>
      </c>
      <c r="O40" s="14"/>
      <c r="P40" s="1">
        <f>SUM(OSRRefP22_2x_0)</f>
        <v>1284.6300000000001</v>
      </c>
      <c r="Q40" s="1"/>
      <c r="R40" s="5">
        <f t="shared" ref="R40:R60" si="33">IF(P$12=0,0,P40/P$12)</f>
        <v>5.7342835499857043E-4</v>
      </c>
      <c r="S40" s="1"/>
      <c r="T40" s="1">
        <f>SUM(OSRRefT22_2x_0)</f>
        <v>204.75</v>
      </c>
      <c r="U40" s="1"/>
      <c r="V40" s="5">
        <f t="shared" ref="V40:V60" si="34">IF(T$12=0,0,T40/T$12)</f>
        <v>8.660464124741139E-3</v>
      </c>
      <c r="W40" s="1"/>
      <c r="X40" s="1">
        <f t="shared" ref="X40:X60" si="35">+P40-T40</f>
        <v>1079.8800000000001</v>
      </c>
      <c r="Y40" s="1"/>
      <c r="Z40" s="5">
        <f t="shared" ref="Z40:Z60" si="36">IF(T40=0,0,X40/T40)</f>
        <v>5.2741391941391944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78.739999999999995</v>
      </c>
      <c r="E41" s="2"/>
      <c r="F41" s="6">
        <f t="shared" si="29"/>
        <v>3.8248699221196442E-4</v>
      </c>
      <c r="G41" s="2"/>
      <c r="H41" s="7"/>
      <c r="I41" s="2"/>
      <c r="J41" s="6">
        <f t="shared" si="30"/>
        <v>0</v>
      </c>
      <c r="K41" s="2"/>
      <c r="L41" s="7">
        <f t="shared" si="31"/>
        <v>78.739999999999995</v>
      </c>
      <c r="M41" s="2"/>
      <c r="N41" s="6">
        <f t="shared" si="32"/>
        <v>0</v>
      </c>
      <c r="O41" s="11"/>
      <c r="P41" s="7">
        <v>1284.6300000000001</v>
      </c>
      <c r="Q41" s="2"/>
      <c r="R41" s="6">
        <f t="shared" si="33"/>
        <v>5.7342835499857043E-4</v>
      </c>
      <c r="S41" s="2"/>
      <c r="T41" s="7">
        <v>204.75</v>
      </c>
      <c r="U41" s="2"/>
      <c r="V41" s="6">
        <f t="shared" si="34"/>
        <v>8.660464124741139E-3</v>
      </c>
      <c r="W41" s="2"/>
      <c r="X41" s="7">
        <f t="shared" si="35"/>
        <v>1079.8800000000001</v>
      </c>
      <c r="Y41" s="2"/>
      <c r="Z41" s="6">
        <f t="shared" si="36"/>
        <v>5.2741391941391944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0</v>
      </c>
      <c r="I42" s="1"/>
      <c r="J42" s="5">
        <f t="shared" si="30"/>
        <v>0</v>
      </c>
      <c r="K42" s="1"/>
      <c r="L42" s="1">
        <f t="shared" si="31"/>
        <v>0</v>
      </c>
      <c r="M42" s="1"/>
      <c r="N42" s="5">
        <f t="shared" si="32"/>
        <v>0</v>
      </c>
      <c r="O42" s="14"/>
      <c r="P42" s="1">
        <f>SUM(OSRRefP22_3x_0)</f>
        <v>-23.9</v>
      </c>
      <c r="Q42" s="1"/>
      <c r="R42" s="5">
        <f t="shared" si="33"/>
        <v>-1.0668392988226828E-5</v>
      </c>
      <c r="S42" s="1"/>
      <c r="T42" s="1">
        <f>SUM(OSRRefT22_3x_0)</f>
        <v>0</v>
      </c>
      <c r="U42" s="1"/>
      <c r="V42" s="5">
        <f t="shared" si="34"/>
        <v>0</v>
      </c>
      <c r="W42" s="1"/>
      <c r="X42" s="1">
        <f t="shared" si="35"/>
        <v>-23.9</v>
      </c>
      <c r="Y42" s="1"/>
      <c r="Z42" s="5">
        <f t="shared" si="36"/>
        <v>0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29"/>
        <v>0</v>
      </c>
      <c r="G43" s="2"/>
      <c r="H43" s="7"/>
      <c r="I43" s="2"/>
      <c r="J43" s="6">
        <f t="shared" si="30"/>
        <v>0</v>
      </c>
      <c r="K43" s="2"/>
      <c r="L43" s="7">
        <f t="shared" si="31"/>
        <v>0</v>
      </c>
      <c r="M43" s="2"/>
      <c r="N43" s="6">
        <f t="shared" si="32"/>
        <v>0</v>
      </c>
      <c r="O43" s="11"/>
      <c r="P43" s="7">
        <v>-23.9</v>
      </c>
      <c r="Q43" s="2"/>
      <c r="R43" s="6">
        <f t="shared" si="33"/>
        <v>-1.0668392988226828E-5</v>
      </c>
      <c r="S43" s="2"/>
      <c r="T43" s="7">
        <v>0</v>
      </c>
      <c r="U43" s="2"/>
      <c r="V43" s="6">
        <f t="shared" si="34"/>
        <v>0</v>
      </c>
      <c r="W43" s="2"/>
      <c r="X43" s="7">
        <f t="shared" si="35"/>
        <v>-23.9</v>
      </c>
      <c r="Y43" s="2"/>
      <c r="Z43" s="6">
        <f t="shared" si="36"/>
        <v>0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19.440000000000001</v>
      </c>
      <c r="E44" s="1"/>
      <c r="F44" s="5">
        <f t="shared" si="29"/>
        <v>9.4431637396502282E-5</v>
      </c>
      <c r="G44" s="1"/>
      <c r="H44" s="1">
        <f>SUM(OSRRefH22_4x_0)</f>
        <v>0</v>
      </c>
      <c r="I44" s="1"/>
      <c r="J44" s="5">
        <f t="shared" si="30"/>
        <v>0</v>
      </c>
      <c r="K44" s="1"/>
      <c r="L44" s="1">
        <f t="shared" si="31"/>
        <v>19.440000000000001</v>
      </c>
      <c r="M44" s="1"/>
      <c r="N44" s="5">
        <f t="shared" si="32"/>
        <v>0</v>
      </c>
      <c r="O44" s="14"/>
      <c r="P44" s="1">
        <f>SUM(OSRRefP22_4x_0)</f>
        <v>274.97000000000003</v>
      </c>
      <c r="Q44" s="1"/>
      <c r="R44" s="5">
        <f t="shared" si="33"/>
        <v>1.2274008451768751E-4</v>
      </c>
      <c r="S44" s="1"/>
      <c r="T44" s="1">
        <f>SUM(OSRRefT22_4x_0)</f>
        <v>0</v>
      </c>
      <c r="U44" s="1"/>
      <c r="V44" s="5">
        <f t="shared" si="34"/>
        <v>0</v>
      </c>
      <c r="W44" s="1"/>
      <c r="X44" s="1">
        <f t="shared" si="35"/>
        <v>274.97000000000003</v>
      </c>
      <c r="Y44" s="1"/>
      <c r="Z44" s="5">
        <f t="shared" si="36"/>
        <v>0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19.440000000000001</v>
      </c>
      <c r="E45" s="2"/>
      <c r="F45" s="6">
        <f t="shared" si="29"/>
        <v>9.4431637396502282E-5</v>
      </c>
      <c r="G45" s="2"/>
      <c r="H45" s="7"/>
      <c r="I45" s="2"/>
      <c r="J45" s="6">
        <f t="shared" si="30"/>
        <v>0</v>
      </c>
      <c r="K45" s="2"/>
      <c r="L45" s="7">
        <f t="shared" si="31"/>
        <v>19.440000000000001</v>
      </c>
      <c r="M45" s="2"/>
      <c r="N45" s="6">
        <f t="shared" si="32"/>
        <v>0</v>
      </c>
      <c r="O45" s="11"/>
      <c r="P45" s="7">
        <v>274.97000000000003</v>
      </c>
      <c r="Q45" s="2"/>
      <c r="R45" s="6">
        <f t="shared" si="33"/>
        <v>1.2274008451768751E-4</v>
      </c>
      <c r="S45" s="2"/>
      <c r="T45" s="7"/>
      <c r="U45" s="2"/>
      <c r="V45" s="6">
        <f t="shared" si="34"/>
        <v>0</v>
      </c>
      <c r="W45" s="2"/>
      <c r="X45" s="7">
        <f t="shared" si="35"/>
        <v>274.97000000000003</v>
      </c>
      <c r="Y45" s="2"/>
      <c r="Z45" s="6">
        <f t="shared" si="36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9"/>
        <v>1.3286006761480112E-3</v>
      </c>
      <c r="G46" s="1"/>
      <c r="H46" s="1">
        <f>SUM(OSRRefH22_5x_0)</f>
        <v>272.74</v>
      </c>
      <c r="I46" s="1"/>
      <c r="J46" s="5">
        <f t="shared" si="30"/>
        <v>-1.7024968789013735</v>
      </c>
      <c r="K46" s="1"/>
      <c r="L46" s="1">
        <f t="shared" si="31"/>
        <v>0.76999999999998181</v>
      </c>
      <c r="M46" s="1"/>
      <c r="N46" s="5">
        <f t="shared" si="32"/>
        <v>2.8232015839260165E-3</v>
      </c>
      <c r="O46" s="14"/>
      <c r="P46" s="1">
        <f>SUM(OSRRefP22_5x_0)</f>
        <v>1914.57</v>
      </c>
      <c r="Q46" s="1"/>
      <c r="R46" s="5">
        <f t="shared" si="33"/>
        <v>8.5461862608658744E-4</v>
      </c>
      <c r="S46" s="1"/>
      <c r="T46" s="1">
        <f>SUM(OSRRefT22_5x_0)</f>
        <v>1644.96</v>
      </c>
      <c r="U46" s="1"/>
      <c r="V46" s="5">
        <f t="shared" si="34"/>
        <v>6.957810533154668E-2</v>
      </c>
      <c r="W46" s="1"/>
      <c r="X46" s="1">
        <f t="shared" si="35"/>
        <v>269.6099999999999</v>
      </c>
      <c r="Y46" s="1"/>
      <c r="Z46" s="5">
        <f t="shared" si="36"/>
        <v>0.16390064196089868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273.51</v>
      </c>
      <c r="E47" s="2"/>
      <c r="F47" s="6">
        <f t="shared" si="29"/>
        <v>1.3286006761480112E-3</v>
      </c>
      <c r="G47" s="2"/>
      <c r="H47" s="7">
        <v>272.74</v>
      </c>
      <c r="I47" s="2"/>
      <c r="J47" s="6">
        <f t="shared" si="30"/>
        <v>-1.7024968789013735</v>
      </c>
      <c r="K47" s="2"/>
      <c r="L47" s="7">
        <f t="shared" si="31"/>
        <v>0.76999999999998181</v>
      </c>
      <c r="M47" s="2"/>
      <c r="N47" s="6">
        <f t="shared" si="32"/>
        <v>2.8232015839260165E-3</v>
      </c>
      <c r="O47" s="11"/>
      <c r="P47" s="7">
        <v>1914.57</v>
      </c>
      <c r="Q47" s="2"/>
      <c r="R47" s="6">
        <f t="shared" si="33"/>
        <v>8.5461862608658744E-4</v>
      </c>
      <c r="S47" s="2"/>
      <c r="T47" s="7">
        <v>1644.96</v>
      </c>
      <c r="U47" s="2"/>
      <c r="V47" s="6">
        <f t="shared" si="34"/>
        <v>6.957810533154668E-2</v>
      </c>
      <c r="W47" s="2"/>
      <c r="X47" s="7">
        <f t="shared" si="35"/>
        <v>269.6099999999999</v>
      </c>
      <c r="Y47" s="2"/>
      <c r="Z47" s="6">
        <f t="shared" si="36"/>
        <v>0.16390064196089868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2028.77</v>
      </c>
      <c r="E48" s="1"/>
      <c r="F48" s="5">
        <f t="shared" si="29"/>
        <v>9.8549420267953665E-3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2028.77</v>
      </c>
      <c r="M48" s="1"/>
      <c r="N48" s="5">
        <f t="shared" si="32"/>
        <v>0</v>
      </c>
      <c r="O48" s="14"/>
      <c r="P48" s="1">
        <f>SUM(OSRRefP22_6x_0)</f>
        <v>20443.77</v>
      </c>
      <c r="Q48" s="1"/>
      <c r="R48" s="5">
        <f t="shared" si="33"/>
        <v>9.1256139130092891E-3</v>
      </c>
      <c r="S48" s="1"/>
      <c r="T48" s="1">
        <f>SUM(OSRRefT22_6x_0)</f>
        <v>0</v>
      </c>
      <c r="U48" s="1"/>
      <c r="V48" s="5">
        <f t="shared" si="34"/>
        <v>0</v>
      </c>
      <c r="W48" s="1"/>
      <c r="X48" s="1">
        <f t="shared" si="35"/>
        <v>20443.77</v>
      </c>
      <c r="Y48" s="1"/>
      <c r="Z48" s="5">
        <f t="shared" si="36"/>
        <v>0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7">
        <v>2028.77</v>
      </c>
      <c r="E49" s="2"/>
      <c r="F49" s="6">
        <f t="shared" si="29"/>
        <v>9.8549420267953665E-3</v>
      </c>
      <c r="G49" s="2"/>
      <c r="H49" s="7"/>
      <c r="I49" s="2"/>
      <c r="J49" s="6">
        <f t="shared" si="30"/>
        <v>0</v>
      </c>
      <c r="K49" s="2"/>
      <c r="L49" s="7">
        <f t="shared" si="31"/>
        <v>2028.77</v>
      </c>
      <c r="M49" s="2"/>
      <c r="N49" s="6">
        <f t="shared" si="32"/>
        <v>0</v>
      </c>
      <c r="O49" s="11"/>
      <c r="P49" s="7">
        <v>20443.77</v>
      </c>
      <c r="Q49" s="2"/>
      <c r="R49" s="6">
        <f t="shared" si="33"/>
        <v>9.1256139130092891E-3</v>
      </c>
      <c r="S49" s="2"/>
      <c r="T49" s="7"/>
      <c r="U49" s="2"/>
      <c r="V49" s="6">
        <f t="shared" si="34"/>
        <v>0</v>
      </c>
      <c r="W49" s="2"/>
      <c r="X49" s="7">
        <f t="shared" si="35"/>
        <v>20443.77</v>
      </c>
      <c r="Y49" s="2"/>
      <c r="Z49" s="6">
        <f t="shared" si="36"/>
        <v>0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29"/>
        <v>0</v>
      </c>
      <c r="G50" s="1"/>
      <c r="H50" s="1">
        <f>SUM(OSRRefH22_7x_0)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SUM(OSRRefP22_7x_0)</f>
        <v>34.47</v>
      </c>
      <c r="Q50" s="1"/>
      <c r="R50" s="5">
        <f t="shared" si="33"/>
        <v>1.5386590221932168E-5</v>
      </c>
      <c r="S50" s="1"/>
      <c r="T50" s="1">
        <f>SUM(OSRRefT22_7x_0)</f>
        <v>0</v>
      </c>
      <c r="U50" s="1"/>
      <c r="V50" s="5">
        <f t="shared" si="34"/>
        <v>0</v>
      </c>
      <c r="W50" s="1"/>
      <c r="X50" s="1">
        <f t="shared" si="35"/>
        <v>34.47</v>
      </c>
      <c r="Y50" s="1"/>
      <c r="Z50" s="5">
        <f t="shared" si="36"/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>
        <v>34.47</v>
      </c>
      <c r="Q51" s="2"/>
      <c r="R51" s="6">
        <f t="shared" si="33"/>
        <v>1.5386590221932168E-5</v>
      </c>
      <c r="S51" s="2"/>
      <c r="T51" s="7"/>
      <c r="U51" s="2"/>
      <c r="V51" s="6">
        <f t="shared" si="34"/>
        <v>0</v>
      </c>
      <c r="W51" s="2"/>
      <c r="X51" s="7">
        <f t="shared" si="35"/>
        <v>34.47</v>
      </c>
      <c r="Y51" s="2"/>
      <c r="Z51" s="6">
        <f t="shared" si="36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143.68</v>
      </c>
      <c r="E52" s="1"/>
      <c r="F52" s="5">
        <f t="shared" si="29"/>
        <v>6.9793918009925144E-4</v>
      </c>
      <c r="G52" s="1"/>
      <c r="H52" s="1">
        <f>SUM(OSRRefH22_8x_0)</f>
        <v>107.89</v>
      </c>
      <c r="I52" s="1"/>
      <c r="J52" s="5">
        <f t="shared" si="30"/>
        <v>-0.67347066167290892</v>
      </c>
      <c r="K52" s="1"/>
      <c r="L52" s="1">
        <f t="shared" si="31"/>
        <v>35.790000000000006</v>
      </c>
      <c r="M52" s="1"/>
      <c r="N52" s="5">
        <f t="shared" si="32"/>
        <v>0.33172675873574942</v>
      </c>
      <c r="O52" s="14"/>
      <c r="P52" s="1">
        <f>SUM(OSRRefP22_8x_0)</f>
        <v>6439.74</v>
      </c>
      <c r="Q52" s="1"/>
      <c r="R52" s="5">
        <f t="shared" si="33"/>
        <v>2.8745471574060182E-3</v>
      </c>
      <c r="S52" s="1"/>
      <c r="T52" s="1">
        <f>SUM(OSRRefT22_8x_0)</f>
        <v>1494.56</v>
      </c>
      <c r="U52" s="1"/>
      <c r="V52" s="5">
        <f t="shared" si="34"/>
        <v>6.321652386946576E-2</v>
      </c>
      <c r="W52" s="1"/>
      <c r="X52" s="1">
        <f t="shared" si="35"/>
        <v>4945.18</v>
      </c>
      <c r="Y52" s="1"/>
      <c r="Z52" s="5">
        <f t="shared" si="36"/>
        <v>3.3087865324911685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7">
        <v>143.68</v>
      </c>
      <c r="E53" s="2"/>
      <c r="F53" s="6">
        <f t="shared" si="29"/>
        <v>6.9793918009925144E-4</v>
      </c>
      <c r="G53" s="2"/>
      <c r="H53" s="7">
        <v>107.89</v>
      </c>
      <c r="I53" s="2"/>
      <c r="J53" s="6">
        <f t="shared" si="30"/>
        <v>-0.67347066167290892</v>
      </c>
      <c r="K53" s="2"/>
      <c r="L53" s="7">
        <f t="shared" si="31"/>
        <v>35.790000000000006</v>
      </c>
      <c r="M53" s="2"/>
      <c r="N53" s="6">
        <f t="shared" si="32"/>
        <v>0.33172675873574942</v>
      </c>
      <c r="O53" s="11"/>
      <c r="P53" s="7">
        <v>6439.74</v>
      </c>
      <c r="Q53" s="2"/>
      <c r="R53" s="6">
        <f t="shared" si="33"/>
        <v>2.8745471574060182E-3</v>
      </c>
      <c r="S53" s="2"/>
      <c r="T53" s="7">
        <v>1494.56</v>
      </c>
      <c r="U53" s="2"/>
      <c r="V53" s="6">
        <f t="shared" si="34"/>
        <v>6.321652386946576E-2</v>
      </c>
      <c r="W53" s="2"/>
      <c r="X53" s="7">
        <f t="shared" si="35"/>
        <v>4945.18</v>
      </c>
      <c r="Y53" s="2"/>
      <c r="Z53" s="6">
        <f t="shared" si="36"/>
        <v>3.3087865324911685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387.25</v>
      </c>
      <c r="E54" s="1"/>
      <c r="F54" s="5">
        <f t="shared" si="29"/>
        <v>1.88110347642981E-3</v>
      </c>
      <c r="G54" s="1"/>
      <c r="H54" s="1">
        <f>SUM(OSRRefH22_9x_0)</f>
        <v>0</v>
      </c>
      <c r="I54" s="1"/>
      <c r="J54" s="5">
        <f t="shared" si="30"/>
        <v>0</v>
      </c>
      <c r="K54" s="1"/>
      <c r="L54" s="1">
        <f t="shared" si="31"/>
        <v>387.25</v>
      </c>
      <c r="M54" s="1"/>
      <c r="N54" s="5">
        <f t="shared" si="32"/>
        <v>0</v>
      </c>
      <c r="O54" s="14"/>
      <c r="P54" s="1">
        <f>SUM(OSRRefP22_9x_0)</f>
        <v>8064.87</v>
      </c>
      <c r="Q54" s="1"/>
      <c r="R54" s="5">
        <f t="shared" si="33"/>
        <v>3.599966634266147E-3</v>
      </c>
      <c r="S54" s="1"/>
      <c r="T54" s="1">
        <f>SUM(OSRRefT22_9x_0)</f>
        <v>3828.45</v>
      </c>
      <c r="U54" s="1"/>
      <c r="V54" s="5">
        <f t="shared" si="34"/>
        <v>0.16193481747675317</v>
      </c>
      <c r="W54" s="1"/>
      <c r="X54" s="1">
        <f t="shared" si="35"/>
        <v>4236.42</v>
      </c>
      <c r="Y54" s="1"/>
      <c r="Z54" s="5">
        <f t="shared" si="36"/>
        <v>1.1065627081455942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7">
        <v>387.25</v>
      </c>
      <c r="E55" s="2"/>
      <c r="F55" s="6">
        <f t="shared" si="29"/>
        <v>1.88110347642981E-3</v>
      </c>
      <c r="G55" s="2"/>
      <c r="H55" s="7"/>
      <c r="I55" s="2"/>
      <c r="J55" s="6">
        <f t="shared" si="30"/>
        <v>0</v>
      </c>
      <c r="K55" s="2"/>
      <c r="L55" s="7">
        <f t="shared" si="31"/>
        <v>387.25</v>
      </c>
      <c r="M55" s="2"/>
      <c r="N55" s="6">
        <f t="shared" si="32"/>
        <v>0</v>
      </c>
      <c r="O55" s="11"/>
      <c r="P55" s="7">
        <v>8064.87</v>
      </c>
      <c r="Q55" s="2"/>
      <c r="R55" s="6">
        <f t="shared" si="33"/>
        <v>3.599966634266147E-3</v>
      </c>
      <c r="S55" s="2"/>
      <c r="T55" s="7">
        <v>3828.45</v>
      </c>
      <c r="U55" s="2"/>
      <c r="V55" s="6">
        <f t="shared" si="34"/>
        <v>0.16193481747675317</v>
      </c>
      <c r="W55" s="2"/>
      <c r="X55" s="7">
        <f t="shared" si="35"/>
        <v>4236.42</v>
      </c>
      <c r="Y55" s="2"/>
      <c r="Z55" s="6">
        <f t="shared" si="36"/>
        <v>1.1065627081455942</v>
      </c>
    </row>
    <row r="56" spans="1:26" s="29" customFormat="1" outlineLevel="1" collapsed="1" x14ac:dyDescent="0.3">
      <c r="A56" s="28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SUM(OSRRefD22_10x_0)</f>
        <v>16052.49</v>
      </c>
      <c r="E56" s="1"/>
      <c r="F56" s="5">
        <f t="shared" si="29"/>
        <v>7.7976487396655289E-2</v>
      </c>
      <c r="G56" s="1"/>
      <c r="H56" s="1">
        <f>SUM(OSRRefH22_10x_0)</f>
        <v>-12.82</v>
      </c>
      <c r="I56" s="1"/>
      <c r="J56" s="5">
        <f t="shared" si="30"/>
        <v>8.0024968789013745E-2</v>
      </c>
      <c r="K56" s="1"/>
      <c r="L56" s="1">
        <f t="shared" si="31"/>
        <v>16065.31</v>
      </c>
      <c r="M56" s="1"/>
      <c r="N56" s="5">
        <f t="shared" si="32"/>
        <v>-1253.1443057722308</v>
      </c>
      <c r="O56" s="14"/>
      <c r="P56" s="1">
        <f>SUM(OSRRefP22_10x_0)</f>
        <v>173731.12</v>
      </c>
      <c r="Q56" s="1"/>
      <c r="R56" s="5">
        <f t="shared" si="33"/>
        <v>7.7549450311497653E-2</v>
      </c>
      <c r="S56" s="1"/>
      <c r="T56" s="1">
        <f>SUM(OSRRefT22_10x_0)</f>
        <v>1899.35</v>
      </c>
      <c r="U56" s="1"/>
      <c r="V56" s="5">
        <f t="shared" si="34"/>
        <v>8.0338229720767179E-2</v>
      </c>
      <c r="W56" s="1"/>
      <c r="X56" s="1">
        <f t="shared" si="35"/>
        <v>171831.77</v>
      </c>
      <c r="Y56" s="1"/>
      <c r="Z56" s="5">
        <f t="shared" si="36"/>
        <v>90.468723510674707</v>
      </c>
    </row>
    <row r="57" spans="1:26" s="24" customFormat="1" hidden="1" outlineLevel="2" x14ac:dyDescent="0.3">
      <c r="A57" s="27"/>
      <c r="B57" s="11" t="str">
        <f>CONCATENATE("          ", "6387", " - ", "COMMISSION DUE HOUSING")</f>
        <v xml:space="preserve">          6387 - COMMISSION DUE HOUSING</v>
      </c>
      <c r="C57" s="11"/>
      <c r="D57" s="7">
        <v>16052.49</v>
      </c>
      <c r="E57" s="2"/>
      <c r="F57" s="6">
        <f t="shared" si="29"/>
        <v>7.7976487396655289E-2</v>
      </c>
      <c r="G57" s="2"/>
      <c r="H57" s="7">
        <v>-12.82</v>
      </c>
      <c r="I57" s="2"/>
      <c r="J57" s="6">
        <f t="shared" si="30"/>
        <v>8.0024968789013745E-2</v>
      </c>
      <c r="K57" s="2"/>
      <c r="L57" s="7">
        <f t="shared" si="31"/>
        <v>16065.31</v>
      </c>
      <c r="M57" s="2"/>
      <c r="N57" s="6">
        <f t="shared" si="32"/>
        <v>-1253.1443057722308</v>
      </c>
      <c r="O57" s="11"/>
      <c r="P57" s="7">
        <v>173731.12</v>
      </c>
      <c r="Q57" s="2"/>
      <c r="R57" s="6">
        <f t="shared" si="33"/>
        <v>7.7549450311497653E-2</v>
      </c>
      <c r="S57" s="2"/>
      <c r="T57" s="7">
        <v>1899.35</v>
      </c>
      <c r="U57" s="2"/>
      <c r="V57" s="6">
        <f t="shared" si="34"/>
        <v>8.0338229720767179E-2</v>
      </c>
      <c r="W57" s="2"/>
      <c r="X57" s="7">
        <f t="shared" si="35"/>
        <v>171831.77</v>
      </c>
      <c r="Y57" s="2"/>
      <c r="Z57" s="6">
        <f t="shared" si="36"/>
        <v>90.468723510674707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157.5</v>
      </c>
      <c r="E58" s="1"/>
      <c r="F58" s="5">
        <f t="shared" si="29"/>
        <v>7.6507113631425457E-4</v>
      </c>
      <c r="G58" s="1"/>
      <c r="H58" s="1">
        <f>SUM(OSRRefH22_11x_0)</f>
        <v>19</v>
      </c>
      <c r="I58" s="1"/>
      <c r="J58" s="5">
        <f t="shared" si="30"/>
        <v>-0.11860174781523097</v>
      </c>
      <c r="K58" s="1"/>
      <c r="L58" s="1">
        <f t="shared" si="31"/>
        <v>138.5</v>
      </c>
      <c r="M58" s="1"/>
      <c r="N58" s="5">
        <f t="shared" si="32"/>
        <v>7.2894736842105265</v>
      </c>
      <c r="O58" s="14"/>
      <c r="P58" s="1">
        <f>SUM(OSRRefP22_11x_0)</f>
        <v>2702.5499999999997</v>
      </c>
      <c r="Q58" s="1"/>
      <c r="R58" s="5">
        <f t="shared" si="33"/>
        <v>1.2063542037795989E-3</v>
      </c>
      <c r="S58" s="1"/>
      <c r="T58" s="1">
        <f>SUM(OSRRefT22_11x_0)</f>
        <v>1260.8499999999999</v>
      </c>
      <c r="U58" s="1"/>
      <c r="V58" s="5">
        <f t="shared" si="34"/>
        <v>5.3331116931281383E-2</v>
      </c>
      <c r="W58" s="1"/>
      <c r="X58" s="1">
        <f t="shared" si="35"/>
        <v>1441.6999999999998</v>
      </c>
      <c r="Y58" s="1"/>
      <c r="Z58" s="5">
        <f t="shared" si="36"/>
        <v>1.1434349843359637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0</v>
      </c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190.2</v>
      </c>
      <c r="Q59" s="2"/>
      <c r="R59" s="6">
        <f t="shared" si="33"/>
        <v>8.49007676301566E-5</v>
      </c>
      <c r="S59" s="2"/>
      <c r="T59" s="7">
        <v>1241.8499999999999</v>
      </c>
      <c r="U59" s="2"/>
      <c r="V59" s="6">
        <f t="shared" si="34"/>
        <v>5.2527459698704676E-2</v>
      </c>
      <c r="W59" s="2"/>
      <c r="X59" s="7">
        <f t="shared" si="35"/>
        <v>-1051.6499999999999</v>
      </c>
      <c r="Y59" s="2"/>
      <c r="Z59" s="6">
        <f t="shared" si="36"/>
        <v>-0.84684140596690416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157.5</v>
      </c>
      <c r="E60" s="2"/>
      <c r="F60" s="6">
        <f t="shared" si="29"/>
        <v>7.6507113631425457E-4</v>
      </c>
      <c r="G60" s="2"/>
      <c r="H60" s="7">
        <v>19</v>
      </c>
      <c r="I60" s="2"/>
      <c r="J60" s="6">
        <f t="shared" si="30"/>
        <v>-0.11860174781523097</v>
      </c>
      <c r="K60" s="2"/>
      <c r="L60" s="7">
        <f t="shared" si="31"/>
        <v>138.5</v>
      </c>
      <c r="M60" s="2"/>
      <c r="N60" s="6">
        <f t="shared" si="32"/>
        <v>7.2894736842105265</v>
      </c>
      <c r="O60" s="11"/>
      <c r="P60" s="7">
        <v>2512.35</v>
      </c>
      <c r="Q60" s="2"/>
      <c r="R60" s="6">
        <f t="shared" si="33"/>
        <v>1.1214534361494424E-3</v>
      </c>
      <c r="S60" s="2"/>
      <c r="T60" s="7">
        <v>19</v>
      </c>
      <c r="U60" s="2"/>
      <c r="V60" s="6">
        <f t="shared" si="34"/>
        <v>8.036572325767113E-4</v>
      </c>
      <c r="W60" s="2"/>
      <c r="X60" s="7">
        <f t="shared" si="35"/>
        <v>2493.35</v>
      </c>
      <c r="Y60" s="2"/>
      <c r="Z60" s="6">
        <f t="shared" si="36"/>
        <v>131.22894736842105</v>
      </c>
    </row>
    <row r="61" spans="1:26" s="29" customFormat="1" outlineLevel="1" collapsed="1" x14ac:dyDescent="0.3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6832.07</v>
      </c>
      <c r="E61" s="1"/>
      <c r="F61" s="5">
        <f t="shared" ref="F61:F64" si="37">IF(D$12=0,0,D61/D$12)</f>
        <v>3.31874257668478E-2</v>
      </c>
      <c r="G61" s="1"/>
      <c r="H61" s="1">
        <f>SUM(OSRRefH22_12x_0)</f>
        <v>5900.0599999999995</v>
      </c>
      <c r="I61" s="1"/>
      <c r="J61" s="5">
        <f t="shared" ref="J61:J64" si="38">IF(H$12=0,0,H61/H$12)</f>
        <v>-36.829338327091136</v>
      </c>
      <c r="K61" s="1"/>
      <c r="L61" s="1">
        <f t="shared" ref="L61:L64" si="39">+D61-H61</f>
        <v>932.01000000000022</v>
      </c>
      <c r="M61" s="1"/>
      <c r="N61" s="5">
        <f t="shared" ref="N61:N64" si="40">IF(H61=0,0,L61/H61)</f>
        <v>0.15796619017433727</v>
      </c>
      <c r="O61" s="14"/>
      <c r="P61" s="1">
        <f>SUM(OSRRefP22_12x_0)</f>
        <v>37874.270000000004</v>
      </c>
      <c r="Q61" s="1"/>
      <c r="R61" s="5">
        <f t="shared" ref="R61:R64" si="41">IF(P$12=0,0,P61/P$12)</f>
        <v>1.6906175585866517E-2</v>
      </c>
      <c r="S61" s="1"/>
      <c r="T61" s="1">
        <f>SUM(OSRRefT22_12x_0)</f>
        <v>41407.64</v>
      </c>
      <c r="U61" s="1"/>
      <c r="V61" s="5">
        <f t="shared" ref="V61:V64" si="42">IF(T$12=0,0,T61/T$12)</f>
        <v>1.7514499668385648</v>
      </c>
      <c r="W61" s="1"/>
      <c r="X61" s="1">
        <f t="shared" ref="X61:X64" si="43">+P61-T61</f>
        <v>-3533.3699999999953</v>
      </c>
      <c r="Y61" s="1"/>
      <c r="Z61" s="5">
        <f t="shared" ref="Z61:Z64" si="44">IF(T61=0,0,X61/T61)</f>
        <v>-8.5331354310460475E-2</v>
      </c>
    </row>
    <row r="62" spans="1:26" s="24" customFormat="1" hidden="1" outlineLevel="2" x14ac:dyDescent="0.3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454.95</v>
      </c>
      <c r="E62" s="2"/>
      <c r="F62" s="6">
        <f t="shared" si="37"/>
        <v>2.2099626251820322E-3</v>
      </c>
      <c r="G62" s="2"/>
      <c r="H62" s="7">
        <v>1251.96</v>
      </c>
      <c r="I62" s="2"/>
      <c r="J62" s="6">
        <f t="shared" si="38"/>
        <v>-7.8149812734082404</v>
      </c>
      <c r="K62" s="2"/>
      <c r="L62" s="7">
        <f t="shared" si="39"/>
        <v>-797.01</v>
      </c>
      <c r="M62" s="2"/>
      <c r="N62" s="6">
        <f t="shared" si="40"/>
        <v>-0.63660979584012267</v>
      </c>
      <c r="O62" s="11"/>
      <c r="P62" s="7">
        <v>2959.07</v>
      </c>
      <c r="Q62" s="2"/>
      <c r="R62" s="6">
        <f t="shared" si="41"/>
        <v>1.3208586460113961E-3</v>
      </c>
      <c r="S62" s="2"/>
      <c r="T62" s="7">
        <v>3009.62</v>
      </c>
      <c r="U62" s="2"/>
      <c r="V62" s="6">
        <f t="shared" si="42"/>
        <v>0.12730015159513272</v>
      </c>
      <c r="W62" s="2"/>
      <c r="X62" s="7">
        <f t="shared" si="43"/>
        <v>-50.549999999999727</v>
      </c>
      <c r="Y62" s="2"/>
      <c r="Z62" s="6">
        <f t="shared" si="44"/>
        <v>-1.679614037652585E-2</v>
      </c>
    </row>
    <row r="63" spans="1:26" s="24" customFormat="1" hidden="1" outlineLevel="2" x14ac:dyDescent="0.3">
      <c r="A63" s="27"/>
      <c r="B63" s="11" t="str">
        <f>CONCATENATE("          ", "6285", " - ", "JANITORIAL SERVICES")</f>
        <v xml:space="preserve">          6285 - JANITORIAL SERVICES</v>
      </c>
      <c r="C63" s="11"/>
      <c r="D63" s="7">
        <v>4428.8599999999997</v>
      </c>
      <c r="E63" s="2"/>
      <c r="F63" s="6">
        <f t="shared" si="37"/>
        <v>2.1513606049376185E-2</v>
      </c>
      <c r="G63" s="2"/>
      <c r="H63" s="7">
        <v>4428.8599999999997</v>
      </c>
      <c r="I63" s="2"/>
      <c r="J63" s="6">
        <f t="shared" si="38"/>
        <v>-27.6458177278402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>
        <v>31485.02</v>
      </c>
      <c r="Q63" s="2"/>
      <c r="R63" s="6">
        <f t="shared" si="41"/>
        <v>1.4054165966618473E-2</v>
      </c>
      <c r="S63" s="2"/>
      <c r="T63" s="7">
        <v>33528.21</v>
      </c>
      <c r="U63" s="2"/>
      <c r="V63" s="6">
        <f t="shared" si="42"/>
        <v>1.4181678137816218</v>
      </c>
      <c r="W63" s="2"/>
      <c r="X63" s="7">
        <f t="shared" si="43"/>
        <v>-2043.1899999999987</v>
      </c>
      <c r="Y63" s="2"/>
      <c r="Z63" s="6">
        <f t="shared" si="44"/>
        <v>-6.0939429811493029E-2</v>
      </c>
    </row>
    <row r="64" spans="1:26" s="24" customFormat="1" hidden="1" outlineLevel="2" x14ac:dyDescent="0.3">
      <c r="A64" s="27"/>
      <c r="B64" s="11" t="str">
        <f>CONCATENATE("          ", "6286", " - ", "LAUNDRY EXPENSE")</f>
        <v xml:space="preserve">          6286 - LAUNDRY EXPENSE</v>
      </c>
      <c r="C64" s="11"/>
      <c r="D64" s="7">
        <v>1948.26</v>
      </c>
      <c r="E64" s="2"/>
      <c r="F64" s="6">
        <f t="shared" si="37"/>
        <v>9.4638570922895848E-3</v>
      </c>
      <c r="G64" s="2"/>
      <c r="H64" s="7">
        <v>219.24</v>
      </c>
      <c r="I64" s="2"/>
      <c r="J64" s="6">
        <f t="shared" si="38"/>
        <v>-1.3685393258426968</v>
      </c>
      <c r="K64" s="2"/>
      <c r="L64" s="7">
        <f t="shared" si="39"/>
        <v>1729.02</v>
      </c>
      <c r="M64" s="2"/>
      <c r="N64" s="6">
        <f t="shared" si="40"/>
        <v>7.8864258347016962</v>
      </c>
      <c r="O64" s="11"/>
      <c r="P64" s="7">
        <v>3430.18</v>
      </c>
      <c r="Q64" s="2"/>
      <c r="R64" s="6">
        <f t="shared" si="41"/>
        <v>1.5311509732366486E-3</v>
      </c>
      <c r="S64" s="2"/>
      <c r="T64" s="7">
        <v>4869.8100000000004</v>
      </c>
      <c r="U64" s="2"/>
      <c r="V64" s="6">
        <f t="shared" si="42"/>
        <v>0.20598200146181023</v>
      </c>
      <c r="W64" s="2"/>
      <c r="X64" s="7">
        <f t="shared" si="43"/>
        <v>-1439.6300000000006</v>
      </c>
      <c r="Y64" s="2"/>
      <c r="Z64" s="6">
        <f t="shared" si="44"/>
        <v>-0.29562344321441708</v>
      </c>
    </row>
    <row r="65" spans="1:26" s="29" customFormat="1" outlineLevel="1" collapsed="1" x14ac:dyDescent="0.3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6137.25</v>
      </c>
      <c r="E65" s="1"/>
      <c r="F65" s="5">
        <f t="shared" ref="F65:F73" si="45">IF(D$12=0,0,D65/D$12)</f>
        <v>2.9812271945045453E-2</v>
      </c>
      <c r="G65" s="1"/>
      <c r="H65" s="1">
        <f>SUM(OSRRefH22_13x_0)</f>
        <v>803.65</v>
      </c>
      <c r="I65" s="1"/>
      <c r="J65" s="5">
        <f t="shared" ref="J65:J73" si="46">IF(H$12=0,0,H65/H$12)</f>
        <v>-5.0165418227215985</v>
      </c>
      <c r="K65" s="1"/>
      <c r="L65" s="1">
        <f t="shared" ref="L65:L73" si="47">+D65-H65</f>
        <v>5333.6</v>
      </c>
      <c r="M65" s="1"/>
      <c r="N65" s="5">
        <f t="shared" ref="N65:N73" si="48">IF(H65=0,0,L65/H65)</f>
        <v>6.6367199651589628</v>
      </c>
      <c r="O65" s="14"/>
      <c r="P65" s="1">
        <f>SUM(OSRRefP22_13x_0)</f>
        <v>49960.130000000005</v>
      </c>
      <c r="Q65" s="1"/>
      <c r="R65" s="5">
        <f t="shared" ref="R65:R73" si="49">IF(P$12=0,0,P65/P$12)</f>
        <v>2.2301016760790833E-2</v>
      </c>
      <c r="S65" s="1"/>
      <c r="T65" s="1">
        <f>SUM(OSRRefT22_13x_0)</f>
        <v>10125.33</v>
      </c>
      <c r="U65" s="1"/>
      <c r="V65" s="5">
        <f t="shared" ref="V65:V73" si="50">IF(T$12=0,0,T65/T$12)</f>
        <v>0.42827866772241852</v>
      </c>
      <c r="W65" s="1"/>
      <c r="X65" s="1">
        <f t="shared" ref="X65:X73" si="51">+P65-T65</f>
        <v>39834.800000000003</v>
      </c>
      <c r="Y65" s="1"/>
      <c r="Z65" s="5">
        <f t="shared" ref="Z65:Z73" si="52">IF(T65=0,0,X65/T65)</f>
        <v>3.9341730096698084</v>
      </c>
    </row>
    <row r="66" spans="1:26" s="24" customFormat="1" hidden="1" outlineLevel="2" x14ac:dyDescent="0.3">
      <c r="A66" s="27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0</v>
      </c>
      <c r="M66" s="2"/>
      <c r="N66" s="6">
        <f t="shared" si="48"/>
        <v>0</v>
      </c>
      <c r="O66" s="11"/>
      <c r="P66" s="7">
        <v>21.98</v>
      </c>
      <c r="Q66" s="2"/>
      <c r="R66" s="6">
        <f t="shared" si="49"/>
        <v>9.8113505389634192E-6</v>
      </c>
      <c r="S66" s="2"/>
      <c r="T66" s="7"/>
      <c r="U66" s="2"/>
      <c r="V66" s="6">
        <f t="shared" si="50"/>
        <v>0</v>
      </c>
      <c r="W66" s="2"/>
      <c r="X66" s="7">
        <f t="shared" si="51"/>
        <v>21.98</v>
      </c>
      <c r="Y66" s="2"/>
      <c r="Z66" s="6">
        <f t="shared" si="52"/>
        <v>0</v>
      </c>
    </row>
    <row r="67" spans="1:26" s="24" customFormat="1" hidden="1" outlineLevel="2" x14ac:dyDescent="0.3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/>
      <c r="Q67" s="2"/>
      <c r="R67" s="6">
        <f t="shared" si="49"/>
        <v>0</v>
      </c>
      <c r="S67" s="2"/>
      <c r="T67" s="7">
        <v>1375.08</v>
      </c>
      <c r="U67" s="2"/>
      <c r="V67" s="6">
        <f t="shared" si="50"/>
        <v>5.8162788809030738E-2</v>
      </c>
      <c r="W67" s="2"/>
      <c r="X67" s="7">
        <f t="shared" si="51"/>
        <v>-1375.08</v>
      </c>
      <c r="Y67" s="2"/>
      <c r="Z67" s="6">
        <f t="shared" si="52"/>
        <v>-1</v>
      </c>
    </row>
    <row r="68" spans="1:26" s="24" customFormat="1" hidden="1" outlineLevel="2" x14ac:dyDescent="0.3">
      <c r="A68" s="27"/>
      <c r="B68" s="11" t="str">
        <f>CONCATENATE("          ", "6237", " - ", "JANITORIAL SUPPLIES")</f>
        <v xml:space="preserve">          6237 - JANITORIAL SUPPLIES</v>
      </c>
      <c r="C68" s="11"/>
      <c r="D68" s="7">
        <v>1570.19</v>
      </c>
      <c r="E68" s="2"/>
      <c r="F68" s="6">
        <f t="shared" si="45"/>
        <v>7.6273463335192341E-3</v>
      </c>
      <c r="G68" s="2"/>
      <c r="H68" s="7">
        <v>803.65</v>
      </c>
      <c r="I68" s="2"/>
      <c r="J68" s="6">
        <f t="shared" si="46"/>
        <v>-5.0165418227215985</v>
      </c>
      <c r="K68" s="2"/>
      <c r="L68" s="7">
        <f t="shared" si="47"/>
        <v>766.54000000000008</v>
      </c>
      <c r="M68" s="2"/>
      <c r="N68" s="6">
        <f t="shared" si="48"/>
        <v>0.9538231817333418</v>
      </c>
      <c r="O68" s="11"/>
      <c r="P68" s="7">
        <v>9095.82</v>
      </c>
      <c r="Q68" s="2"/>
      <c r="R68" s="6">
        <f t="shared" si="49"/>
        <v>4.0601582556557885E-3</v>
      </c>
      <c r="S68" s="2"/>
      <c r="T68" s="7">
        <v>4689.93</v>
      </c>
      <c r="U68" s="2"/>
      <c r="V68" s="6">
        <f t="shared" si="50"/>
        <v>0.19837348235676294</v>
      </c>
      <c r="W68" s="2"/>
      <c r="X68" s="7">
        <f t="shared" si="51"/>
        <v>4405.8899999999994</v>
      </c>
      <c r="Y68" s="2"/>
      <c r="Z68" s="6">
        <f t="shared" si="52"/>
        <v>0.9394361962758504</v>
      </c>
    </row>
    <row r="69" spans="1:26" s="24" customFormat="1" hidden="1" outlineLevel="2" x14ac:dyDescent="0.3">
      <c r="A69" s="27"/>
      <c r="B69" s="11" t="str">
        <f>CONCATENATE("          ", "6239", " - ", "KITCHEN SUPPLIES")</f>
        <v xml:space="preserve">          6239 - KITCHEN SUPPLIES</v>
      </c>
      <c r="C69" s="11"/>
      <c r="D69" s="7">
        <v>1268.6600000000001</v>
      </c>
      <c r="E69" s="2"/>
      <c r="F69" s="6">
        <f t="shared" si="45"/>
        <v>6.1626358590250296E-3</v>
      </c>
      <c r="G69" s="2"/>
      <c r="H69" s="7"/>
      <c r="I69" s="2"/>
      <c r="J69" s="6">
        <f t="shared" si="46"/>
        <v>0</v>
      </c>
      <c r="K69" s="2"/>
      <c r="L69" s="7">
        <f t="shared" si="47"/>
        <v>1268.6600000000001</v>
      </c>
      <c r="M69" s="2"/>
      <c r="N69" s="6">
        <f t="shared" si="48"/>
        <v>0</v>
      </c>
      <c r="O69" s="11"/>
      <c r="P69" s="7">
        <v>6825.59</v>
      </c>
      <c r="Q69" s="2"/>
      <c r="R69" s="6">
        <f t="shared" si="49"/>
        <v>3.0467814433686679E-3</v>
      </c>
      <c r="S69" s="2"/>
      <c r="T69" s="7">
        <v>1031.07</v>
      </c>
      <c r="U69" s="2"/>
      <c r="V69" s="6">
        <f t="shared" si="50"/>
        <v>4.3611940146993135E-2</v>
      </c>
      <c r="W69" s="2"/>
      <c r="X69" s="7">
        <f t="shared" si="51"/>
        <v>5794.52</v>
      </c>
      <c r="Y69" s="2"/>
      <c r="Z69" s="6">
        <f t="shared" si="52"/>
        <v>5.6199094144917421</v>
      </c>
    </row>
    <row r="70" spans="1:26" s="24" customFormat="1" hidden="1" outlineLevel="2" x14ac:dyDescent="0.3">
      <c r="A70" s="27"/>
      <c r="B70" s="11" t="str">
        <f>CONCATENATE("          ", "6241", " - ", "OFFICE EXPENSE")</f>
        <v xml:space="preserve">          6241 - OFFICE EXPENSE</v>
      </c>
      <c r="C70" s="11"/>
      <c r="D70" s="7">
        <v>318.43</v>
      </c>
      <c r="E70" s="2"/>
      <c r="F70" s="6">
        <f t="shared" si="45"/>
        <v>1.5468038218193528E-3</v>
      </c>
      <c r="G70" s="2"/>
      <c r="H70" s="7"/>
      <c r="I70" s="2"/>
      <c r="J70" s="6">
        <f t="shared" si="46"/>
        <v>0</v>
      </c>
      <c r="K70" s="2"/>
      <c r="L70" s="7">
        <f t="shared" si="47"/>
        <v>318.43</v>
      </c>
      <c r="M70" s="2"/>
      <c r="N70" s="6">
        <f t="shared" si="48"/>
        <v>0</v>
      </c>
      <c r="O70" s="11"/>
      <c r="P70" s="7">
        <v>3281.27</v>
      </c>
      <c r="Q70" s="2"/>
      <c r="R70" s="6">
        <f t="shared" si="49"/>
        <v>1.4646810820284121E-3</v>
      </c>
      <c r="S70" s="2"/>
      <c r="T70" s="7">
        <v>19.7</v>
      </c>
      <c r="U70" s="2"/>
      <c r="V70" s="6">
        <f t="shared" si="50"/>
        <v>8.3326565693480064E-4</v>
      </c>
      <c r="W70" s="2"/>
      <c r="X70" s="7">
        <f t="shared" si="51"/>
        <v>3261.57</v>
      </c>
      <c r="Y70" s="2"/>
      <c r="Z70" s="6">
        <f t="shared" si="52"/>
        <v>165.56192893401015</v>
      </c>
    </row>
    <row r="71" spans="1:26" s="24" customFormat="1" hidden="1" outlineLevel="2" x14ac:dyDescent="0.3">
      <c r="A71" s="27"/>
      <c r="B71" s="11" t="str">
        <f>CONCATENATE("          ", "6243", " - ", "PAPER SUPPLIES")</f>
        <v xml:space="preserve">          6243 - PAPER SUPPLIES</v>
      </c>
      <c r="C71" s="11"/>
      <c r="D71" s="7">
        <v>2979.97</v>
      </c>
      <c r="E71" s="2"/>
      <c r="F71" s="6">
        <f t="shared" si="45"/>
        <v>1.4475485930681835E-2</v>
      </c>
      <c r="G71" s="2"/>
      <c r="H71" s="7"/>
      <c r="I71" s="2"/>
      <c r="J71" s="6">
        <f t="shared" si="46"/>
        <v>0</v>
      </c>
      <c r="K71" s="2"/>
      <c r="L71" s="7">
        <f t="shared" si="47"/>
        <v>2979.97</v>
      </c>
      <c r="M71" s="2"/>
      <c r="N71" s="6">
        <f t="shared" si="48"/>
        <v>0</v>
      </c>
      <c r="O71" s="11"/>
      <c r="P71" s="7">
        <v>28657.14</v>
      </c>
      <c r="Q71" s="2"/>
      <c r="R71" s="6">
        <f t="shared" si="49"/>
        <v>1.2791867424210653E-2</v>
      </c>
      <c r="S71" s="2"/>
      <c r="T71" s="7">
        <v>3009.55</v>
      </c>
      <c r="U71" s="2"/>
      <c r="V71" s="6">
        <f t="shared" si="50"/>
        <v>0.12729719075269691</v>
      </c>
      <c r="W71" s="2"/>
      <c r="X71" s="7">
        <f t="shared" si="51"/>
        <v>25647.59</v>
      </c>
      <c r="Y71" s="2"/>
      <c r="Z71" s="6">
        <f t="shared" si="52"/>
        <v>8.5220680832682625</v>
      </c>
    </row>
    <row r="72" spans="1:26" s="24" customFormat="1" hidden="1" outlineLevel="2" x14ac:dyDescent="0.3">
      <c r="A72" s="27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>
        <v>207.93</v>
      </c>
      <c r="Q72" s="2"/>
      <c r="R72" s="6">
        <f t="shared" si="49"/>
        <v>9.2815018997573424E-5</v>
      </c>
      <c r="S72" s="2"/>
      <c r="T72" s="7"/>
      <c r="U72" s="2"/>
      <c r="V72" s="6">
        <f t="shared" si="50"/>
        <v>0</v>
      </c>
      <c r="W72" s="2"/>
      <c r="X72" s="7">
        <f t="shared" si="51"/>
        <v>207.93</v>
      </c>
      <c r="Y72" s="2"/>
      <c r="Z72" s="6">
        <f t="shared" si="52"/>
        <v>0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>
        <v>1870.4</v>
      </c>
      <c r="Q73" s="2"/>
      <c r="R73" s="6">
        <f t="shared" si="49"/>
        <v>8.3490218599077248E-4</v>
      </c>
      <c r="S73" s="2"/>
      <c r="T73" s="7"/>
      <c r="U73" s="2"/>
      <c r="V73" s="6">
        <f t="shared" si="50"/>
        <v>0</v>
      </c>
      <c r="W73" s="2"/>
      <c r="X73" s="7">
        <f t="shared" si="51"/>
        <v>1870.4</v>
      </c>
      <c r="Y73" s="2"/>
      <c r="Z73" s="6">
        <f t="shared" si="52"/>
        <v>0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164</v>
      </c>
      <c r="E74" s="1"/>
      <c r="F74" s="5">
        <f t="shared" ref="F74:F75" si="53">IF(D$12=0,0,D74/D$12)</f>
        <v>7.9664550067008093E-4</v>
      </c>
      <c r="G74" s="1"/>
      <c r="H74" s="1">
        <f>SUM(OSRRefH22_14x_0)</f>
        <v>89</v>
      </c>
      <c r="I74" s="1"/>
      <c r="J74" s="5">
        <f t="shared" ref="J74:J75" si="54">IF(H$12=0,0,H74/H$12)</f>
        <v>-0.55555555555555558</v>
      </c>
      <c r="K74" s="1"/>
      <c r="L74" s="1">
        <f t="shared" ref="L74:L75" si="55">+D74-H74</f>
        <v>75</v>
      </c>
      <c r="M74" s="1"/>
      <c r="N74" s="5">
        <f t="shared" ref="N74:N75" si="56">IF(H74=0,0,L74/H74)</f>
        <v>0.84269662921348309</v>
      </c>
      <c r="O74" s="14"/>
      <c r="P74" s="1">
        <f>SUM(OSRRefP22_14x_0)</f>
        <v>1448</v>
      </c>
      <c r="Q74" s="1"/>
      <c r="R74" s="5">
        <f t="shared" ref="R74:R75" si="57">IF(P$12=0,0,P74/P$12)</f>
        <v>6.4635284715282217E-4</v>
      </c>
      <c r="S74" s="1"/>
      <c r="T74" s="1">
        <f>SUM(OSRRefT22_14x_0)</f>
        <v>1009</v>
      </c>
      <c r="U74" s="1"/>
      <c r="V74" s="5">
        <f t="shared" ref="V74:V75" si="58">IF(T$12=0,0,T74/T$12)</f>
        <v>4.2678428824731669E-2</v>
      </c>
      <c r="W74" s="1"/>
      <c r="X74" s="1">
        <f t="shared" ref="X74:X75" si="59">+P74-T74</f>
        <v>439</v>
      </c>
      <c r="Y74" s="1"/>
      <c r="Z74" s="5">
        <f t="shared" ref="Z74:Z75" si="60">IF(T74=0,0,X74/T74)</f>
        <v>0.43508424182358774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7">
        <v>164</v>
      </c>
      <c r="E75" s="2"/>
      <c r="F75" s="6">
        <f t="shared" si="53"/>
        <v>7.9664550067008093E-4</v>
      </c>
      <c r="G75" s="2"/>
      <c r="H75" s="7">
        <v>89</v>
      </c>
      <c r="I75" s="2"/>
      <c r="J75" s="6">
        <f t="shared" si="54"/>
        <v>-0.55555555555555558</v>
      </c>
      <c r="K75" s="2"/>
      <c r="L75" s="7">
        <f t="shared" si="55"/>
        <v>75</v>
      </c>
      <c r="M75" s="2"/>
      <c r="N75" s="6">
        <f t="shared" si="56"/>
        <v>0.84269662921348309</v>
      </c>
      <c r="O75" s="11"/>
      <c r="P75" s="7">
        <v>1448</v>
      </c>
      <c r="Q75" s="2"/>
      <c r="R75" s="6">
        <f t="shared" si="57"/>
        <v>6.4635284715282217E-4</v>
      </c>
      <c r="S75" s="2"/>
      <c r="T75" s="7">
        <v>1009</v>
      </c>
      <c r="U75" s="2"/>
      <c r="V75" s="6">
        <f t="shared" si="58"/>
        <v>4.2678428824731669E-2</v>
      </c>
      <c r="W75" s="2"/>
      <c r="X75" s="7">
        <f t="shared" si="59"/>
        <v>439</v>
      </c>
      <c r="Y75" s="2"/>
      <c r="Z75" s="6">
        <f t="shared" si="60"/>
        <v>0.43508424182358774</v>
      </c>
    </row>
    <row r="76" spans="1:26" s="52" customFormat="1" x14ac:dyDescent="0.3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3">
      <c r="A77" s="10"/>
      <c r="B77" s="26" t="s">
        <v>292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5" t="s">
        <v>276</v>
      </c>
      <c r="C79" s="25"/>
      <c r="D79" s="21">
        <f>+D21-D23+D77</f>
        <v>46267.759999999966</v>
      </c>
      <c r="E79" s="13"/>
      <c r="F79" s="22">
        <f>IF(D$12=0,0,D79/D$12)</f>
        <v>0.22475001725660437</v>
      </c>
      <c r="G79" s="13"/>
      <c r="H79" s="21">
        <f>+H21-H23+H77</f>
        <v>-51385.729999999996</v>
      </c>
      <c r="I79" s="13"/>
      <c r="J79" s="22">
        <f>IF(H$12=0,0,H79/H$12)</f>
        <v>320.75986267166041</v>
      </c>
      <c r="K79" s="15"/>
      <c r="L79" s="21">
        <f>+D79-H79</f>
        <v>97653.489999999962</v>
      </c>
      <c r="M79" s="15"/>
      <c r="N79" s="22">
        <f>IF(H79=0,0,L79/H79)</f>
        <v>-1.9004009478896178</v>
      </c>
      <c r="O79" s="26"/>
      <c r="P79" s="21">
        <f>+P21-P23+P77</f>
        <v>744887.79000000039</v>
      </c>
      <c r="Q79" s="13"/>
      <c r="R79" s="22">
        <f>IF(P$12=0,0,P79/P$12)</f>
        <v>0.33250023748333818</v>
      </c>
      <c r="S79" s="13"/>
      <c r="T79" s="21">
        <f>+T21-T23+T77</f>
        <v>-369990.79000000004</v>
      </c>
      <c r="U79" s="13"/>
      <c r="V79" s="22">
        <f>IF(T$12=0,0,T79/T$12)</f>
        <v>-15.649777598435325</v>
      </c>
      <c r="W79" s="15"/>
      <c r="X79" s="21">
        <f>+P79-T79</f>
        <v>1114878.5800000005</v>
      </c>
      <c r="Y79" s="15"/>
      <c r="Z79" s="22">
        <f>IF(T79=0,0,X79/T79)</f>
        <v>-3.0132603571024035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1"/>
      <c r="B81" s="10" t="s">
        <v>127</v>
      </c>
      <c r="C81" s="10"/>
      <c r="D81" s="4">
        <v>51655.42</v>
      </c>
      <c r="E81" s="4"/>
      <c r="F81" s="12">
        <f>IF(D$12=0,0,D81/D$12)</f>
        <v>0.25092108492819093</v>
      </c>
      <c r="G81" s="4"/>
      <c r="H81" s="4">
        <v>-112.27</v>
      </c>
      <c r="I81" s="4"/>
      <c r="J81" s="12">
        <f>IF(H$12=0,0,H81/H$12)</f>
        <v>0.70081148564294637</v>
      </c>
      <c r="K81" s="4"/>
      <c r="L81" s="4">
        <f>+D81-H81</f>
        <v>51767.689999999995</v>
      </c>
      <c r="M81" s="4"/>
      <c r="N81" s="12">
        <f>IF(H81=0,0,L81/H81)</f>
        <v>-461.09993765030725</v>
      </c>
      <c r="O81" s="10"/>
      <c r="P81" s="4">
        <v>296537.68</v>
      </c>
      <c r="Q81" s="4"/>
      <c r="R81" s="12">
        <f>IF(P$12=0,0,P81/P$12)</f>
        <v>0.13236738519067159</v>
      </c>
      <c r="S81" s="4"/>
      <c r="T81" s="4">
        <v>4291.63</v>
      </c>
      <c r="U81" s="4"/>
      <c r="V81" s="12">
        <f>IF(T$12=0,0,T81/T$12)</f>
        <v>0.18152628889701009</v>
      </c>
      <c r="W81" s="4"/>
      <c r="X81" s="4">
        <f>+P81-T81</f>
        <v>292246.05</v>
      </c>
      <c r="Y81" s="4"/>
      <c r="Z81" s="12">
        <f>IF(T81=0,0,X81/T81)</f>
        <v>68.096748787756624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5" t="s">
        <v>125</v>
      </c>
      <c r="C83" s="25"/>
      <c r="D83" s="36">
        <f>+D79-D81</f>
        <v>-5387.6600000000326</v>
      </c>
      <c r="E83" s="13"/>
      <c r="F83" s="31">
        <f>IF(D$12=0,0,D83/D$12)</f>
        <v>-2.617106767158655E-2</v>
      </c>
      <c r="G83" s="13"/>
      <c r="H83" s="36">
        <f>+H79-H81</f>
        <v>-51273.46</v>
      </c>
      <c r="I83" s="13"/>
      <c r="J83" s="31">
        <f>IF(H$12=0,0,H83/H$12)</f>
        <v>320.05905118601748</v>
      </c>
      <c r="K83" s="15"/>
      <c r="L83" s="36">
        <f>D83-H83</f>
        <v>45885.799999999967</v>
      </c>
      <c r="M83" s="15"/>
      <c r="N83" s="31">
        <f>IF(H83=0,0,L83/H83)</f>
        <v>-0.8949230264546213</v>
      </c>
      <c r="O83" s="26"/>
      <c r="P83" s="36">
        <f>+P79-P81</f>
        <v>448350.11000000039</v>
      </c>
      <c r="Q83" s="13"/>
      <c r="R83" s="31">
        <f>IF(P$12=0,0,P83/P$12)</f>
        <v>0.20013285229266661</v>
      </c>
      <c r="S83" s="13"/>
      <c r="T83" s="36">
        <f>+T79-T81</f>
        <v>-374282.42000000004</v>
      </c>
      <c r="U83" s="13"/>
      <c r="V83" s="31">
        <f>IF(T$12=0,0,T83/T$12)</f>
        <v>-15.831303887332334</v>
      </c>
      <c r="W83" s="15"/>
      <c r="X83" s="36">
        <f>P83-T83</f>
        <v>822632.53000000049</v>
      </c>
      <c r="Y83" s="15"/>
      <c r="Z83" s="31">
        <f>IF(T83=0,0,X83/T83)</f>
        <v>-2.1978925165654331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5" t="s">
        <v>293</v>
      </c>
      <c r="C86" s="25"/>
      <c r="D86" s="35">
        <f>SUM(D83:D85)</f>
        <v>-5387.6600000000326</v>
      </c>
      <c r="E86" s="13"/>
      <c r="F86" s="32">
        <f>IF(D$12=0,0,D86/D$12)</f>
        <v>-2.617106767158655E-2</v>
      </c>
      <c r="G86" s="13"/>
      <c r="H86" s="35">
        <f>SUM(H83:H85)</f>
        <v>-51273.46</v>
      </c>
      <c r="I86" s="13"/>
      <c r="J86" s="32">
        <f>IF(H$12=0,0,H86/H$12)</f>
        <v>320.05905118601748</v>
      </c>
      <c r="K86" s="15"/>
      <c r="L86" s="35">
        <f>+D86-H86</f>
        <v>45885.799999999967</v>
      </c>
      <c r="M86" s="15"/>
      <c r="N86" s="32">
        <f>IF(H86=0,0,L86/H86)</f>
        <v>-0.8949230264546213</v>
      </c>
      <c r="O86" s="26"/>
      <c r="P86" s="35">
        <f>SUM(P83:P85)</f>
        <v>448350.11000000039</v>
      </c>
      <c r="Q86" s="13"/>
      <c r="R86" s="32">
        <f>IF(P$12=0,0,P86/P$12)</f>
        <v>0.20013285229266661</v>
      </c>
      <c r="S86" s="13"/>
      <c r="T86" s="35">
        <f>SUM(T83:T85)</f>
        <v>-374282.42000000004</v>
      </c>
      <c r="U86" s="13"/>
      <c r="V86" s="32">
        <f>IF(T$12=0,0,T86/T$12)</f>
        <v>-15.831303887332334</v>
      </c>
      <c r="W86" s="15"/>
      <c r="X86" s="35">
        <f>+P86-T86</f>
        <v>822632.53000000049</v>
      </c>
      <c r="Y86" s="15"/>
      <c r="Z86" s="32">
        <f>IF(T86=0,0,X86/T86)</f>
        <v>-2.1978925165654331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54">
        <v>44604.028475694446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3" t="s">
        <v>56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0.28000000000000003</v>
      </c>
      <c r="E18" s="20"/>
      <c r="F18" s="30">
        <f t="shared" ref="F18:F22" si="0">IF(D$12=0,0,D18/D$12)</f>
        <v>0</v>
      </c>
      <c r="G18" s="20"/>
      <c r="H18" s="20">
        <f>SUM(OSRRefH22x_0)</f>
        <v>0</v>
      </c>
      <c r="I18" s="20"/>
      <c r="J18" s="30">
        <f t="shared" ref="J18:J22" si="1">IF(H$12=0,0,H18/H$12)</f>
        <v>0</v>
      </c>
      <c r="K18" s="4"/>
      <c r="L18" s="20">
        <f t="shared" ref="L18:L22" si="2">+D18-H18</f>
        <v>0.28000000000000003</v>
      </c>
      <c r="M18" s="4"/>
      <c r="N18" s="30">
        <f t="shared" ref="N18:N22" si="3">IF(H18=0,0,L18/H18)</f>
        <v>0</v>
      </c>
      <c r="O18" s="10"/>
      <c r="P18" s="20">
        <f>SUM(OSRRefP22x_0)</f>
        <v>0.28000000000000003</v>
      </c>
      <c r="Q18" s="20"/>
      <c r="R18" s="30">
        <f t="shared" ref="R18:R22" si="4">IF(P$12=0,0,P18/P$12)</f>
        <v>0</v>
      </c>
      <c r="S18" s="20"/>
      <c r="T18" s="20">
        <f>SUM(OSRRefT22x_0)</f>
        <v>178.69</v>
      </c>
      <c r="U18" s="20"/>
      <c r="V18" s="30">
        <f t="shared" ref="V18:V22" si="5">IF(T$12=0,0,T18/T$12)</f>
        <v>0</v>
      </c>
      <c r="W18" s="4"/>
      <c r="X18" s="20">
        <f t="shared" ref="X18:X22" si="6">+P18-T18</f>
        <v>-178.41</v>
      </c>
      <c r="Y18" s="4"/>
      <c r="Z18" s="30">
        <f t="shared" ref="Z18:Z22" si="7">IF(T18=0,0,X18/T18)</f>
        <v>-0.99843304046113379</v>
      </c>
    </row>
    <row r="19" spans="1:26" s="29" customFormat="1" outlineLevel="1" collapsed="1" x14ac:dyDescent="0.3">
      <c r="A19" s="28"/>
      <c r="B19" s="14" t="str">
        <f>CONCATENATE("     ","Bank/card Fees                                    ")</f>
        <v xml:space="preserve">     Bank/card Fees                                    </v>
      </c>
      <c r="C19" s="14"/>
      <c r="D19" s="1">
        <f>SUM(OSRRefD22_0x_0)</f>
        <v>0.28000000000000003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0.28000000000000003</v>
      </c>
      <c r="M19" s="1"/>
      <c r="N19" s="5">
        <f t="shared" si="3"/>
        <v>0</v>
      </c>
      <c r="O19" s="14"/>
      <c r="P19" s="1">
        <f>SUM(OSRRefP22_0x_0)</f>
        <v>0.28000000000000003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0.28000000000000003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"6381", " - ", "BANK/CREDIT CARD FEES")</f>
        <v xml:space="preserve">          6381 - BANK/CREDIT CARD FEES</v>
      </c>
      <c r="C20" s="11"/>
      <c r="D20" s="7">
        <v>0.28000000000000003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0.28000000000000003</v>
      </c>
      <c r="M20" s="2"/>
      <c r="N20" s="6">
        <f t="shared" si="3"/>
        <v>0</v>
      </c>
      <c r="O20" s="11"/>
      <c r="P20" s="7">
        <v>0.28000000000000003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0.28000000000000003</v>
      </c>
      <c r="Y20" s="2"/>
      <c r="Z20" s="6">
        <f t="shared" si="7"/>
        <v>0</v>
      </c>
    </row>
    <row r="21" spans="1:26" s="29" customFormat="1" outlineLevel="1" collapsed="1" x14ac:dyDescent="0.3">
      <c r="A21" s="28"/>
      <c r="B21" s="14" t="str">
        <f>CONCATENATE("     ","Telephone/Data Lines                              ")</f>
        <v xml:space="preserve">     Telephone/Data Lines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178.69</v>
      </c>
      <c r="U21" s="1"/>
      <c r="V21" s="5">
        <f t="shared" si="5"/>
        <v>0</v>
      </c>
      <c r="W21" s="1"/>
      <c r="X21" s="1">
        <f t="shared" si="6"/>
        <v>-178.69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"6309", " - ", "TELEPHONE")</f>
        <v xml:space="preserve">          6309 - TELEPHONE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178.69</v>
      </c>
      <c r="U22" s="2"/>
      <c r="V22" s="6">
        <f t="shared" si="5"/>
        <v>0</v>
      </c>
      <c r="W22" s="2"/>
      <c r="X22" s="7">
        <f t="shared" si="6"/>
        <v>-178.69</v>
      </c>
      <c r="Y22" s="2"/>
      <c r="Z22" s="6">
        <f t="shared" si="7"/>
        <v>-1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6" t="s">
        <v>292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5" t="s">
        <v>276</v>
      </c>
      <c r="C26" s="25"/>
      <c r="D26" s="21">
        <f>+D16-D18+D24</f>
        <v>-0.28000000000000003</v>
      </c>
      <c r="E26" s="13"/>
      <c r="F26" s="22">
        <f>IF(D$12=0,0,D26/D$12)</f>
        <v>0</v>
      </c>
      <c r="G26" s="13"/>
      <c r="H26" s="21">
        <f>+H16-H18+H24</f>
        <v>0</v>
      </c>
      <c r="I26" s="13"/>
      <c r="J26" s="22">
        <f>IF(H$12=0,0,H26/H$12)</f>
        <v>0</v>
      </c>
      <c r="K26" s="15"/>
      <c r="L26" s="21">
        <f>+D26-H26</f>
        <v>-0.28000000000000003</v>
      </c>
      <c r="M26" s="15"/>
      <c r="N26" s="22">
        <f>IF(H26=0,0,L26/H26)</f>
        <v>0</v>
      </c>
      <c r="O26" s="26"/>
      <c r="P26" s="21">
        <f>+P16-P18+P24</f>
        <v>-0.28000000000000003</v>
      </c>
      <c r="Q26" s="13"/>
      <c r="R26" s="22">
        <f>IF(P$12=0,0,P26/P$12)</f>
        <v>0</v>
      </c>
      <c r="S26" s="13"/>
      <c r="T26" s="21">
        <f>+T16-T18+T24</f>
        <v>-178.69</v>
      </c>
      <c r="U26" s="13"/>
      <c r="V26" s="22">
        <f>IF(T$12=0,0,T26/T$12)</f>
        <v>0</v>
      </c>
      <c r="W26" s="15"/>
      <c r="X26" s="21">
        <f>+P26-T26</f>
        <v>178.41</v>
      </c>
      <c r="Y26" s="15"/>
      <c r="Z26" s="22">
        <f>IF(T26=0,0,X26/T26)</f>
        <v>-0.99843304046113379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127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5" t="s">
        <v>125</v>
      </c>
      <c r="C30" s="25"/>
      <c r="D30" s="36">
        <f>+D26-D28</f>
        <v>-0.28000000000000003</v>
      </c>
      <c r="E30" s="13"/>
      <c r="F30" s="31">
        <f>IF(D$12=0,0,D30/D$12)</f>
        <v>0</v>
      </c>
      <c r="G30" s="13"/>
      <c r="H30" s="36">
        <f>+H26-H28</f>
        <v>0</v>
      </c>
      <c r="I30" s="13"/>
      <c r="J30" s="31">
        <f>IF(H$12=0,0,H30/H$12)</f>
        <v>0</v>
      </c>
      <c r="K30" s="15"/>
      <c r="L30" s="36">
        <f>D30-H30</f>
        <v>-0.28000000000000003</v>
      </c>
      <c r="M30" s="15"/>
      <c r="N30" s="31">
        <f>IF(H30=0,0,L30/H30)</f>
        <v>0</v>
      </c>
      <c r="O30" s="26"/>
      <c r="P30" s="36">
        <f>+P26-P28</f>
        <v>-0.28000000000000003</v>
      </c>
      <c r="Q30" s="13"/>
      <c r="R30" s="31">
        <f>IF(P$12=0,0,P30/P$12)</f>
        <v>0</v>
      </c>
      <c r="S30" s="13"/>
      <c r="T30" s="36">
        <f>+T26-T28</f>
        <v>-178.69</v>
      </c>
      <c r="U30" s="13"/>
      <c r="V30" s="31">
        <f>IF(T$12=0,0,T30/T$12)</f>
        <v>0</v>
      </c>
      <c r="W30" s="15"/>
      <c r="X30" s="36">
        <f>P30-T30</f>
        <v>178.41</v>
      </c>
      <c r="Y30" s="15"/>
      <c r="Z30" s="31">
        <f>IF(T30=0,0,X30/T30)</f>
        <v>-0.99843304046113379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5" t="s">
        <v>293</v>
      </c>
      <c r="C33" s="25"/>
      <c r="D33" s="35">
        <f>SUM(D30:D32)</f>
        <v>-0.28000000000000003</v>
      </c>
      <c r="E33" s="13"/>
      <c r="F33" s="32">
        <f>IF(D$12=0,0,D33/D$12)</f>
        <v>0</v>
      </c>
      <c r="G33" s="13"/>
      <c r="H33" s="35">
        <f>SUM(H30:H32)</f>
        <v>0</v>
      </c>
      <c r="I33" s="13"/>
      <c r="J33" s="32">
        <f>IF(H$12=0,0,H33/H$12)</f>
        <v>0</v>
      </c>
      <c r="K33" s="15"/>
      <c r="L33" s="35">
        <f>+D33-H33</f>
        <v>-0.28000000000000003</v>
      </c>
      <c r="M33" s="15"/>
      <c r="N33" s="32">
        <f>IF(H33=0,0,L33/H33)</f>
        <v>0</v>
      </c>
      <c r="O33" s="26"/>
      <c r="P33" s="35">
        <f>SUM(P30:P32)</f>
        <v>-0.28000000000000003</v>
      </c>
      <c r="Q33" s="13"/>
      <c r="R33" s="32">
        <f>IF(P$12=0,0,P33/P$12)</f>
        <v>0</v>
      </c>
      <c r="S33" s="13"/>
      <c r="T33" s="35">
        <f>SUM(T30:T32)</f>
        <v>-178.69</v>
      </c>
      <c r="U33" s="13"/>
      <c r="V33" s="32">
        <f>IF(T$12=0,0,T33/T$12)</f>
        <v>0</v>
      </c>
      <c r="W33" s="15"/>
      <c r="X33" s="35">
        <f>+P33-T33</f>
        <v>178.41</v>
      </c>
      <c r="Y33" s="15"/>
      <c r="Z33" s="32">
        <f>IF(T33=0,0,X33/T33)</f>
        <v>-0.99843304046113379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54">
        <v>44604.028475694446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3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","444", " - ", "Parkside Dining Hall")</f>
        <v>Department 444 - Parkside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310868.02999999997</v>
      </c>
      <c r="E12" s="4"/>
      <c r="F12" s="12"/>
      <c r="G12" s="4"/>
      <c r="H12" s="4">
        <f>SUM(OSRRefH13x_0)</f>
        <v>38411.35</v>
      </c>
      <c r="I12" s="4"/>
      <c r="J12" s="12"/>
      <c r="K12" s="4"/>
      <c r="L12" s="4">
        <f t="shared" ref="L12:L15" si="0">+D12-H12</f>
        <v>272456.68</v>
      </c>
      <c r="M12" s="4"/>
      <c r="N12" s="12">
        <f t="shared" ref="N12:N15" si="1">IF(H12=0,0,L12/H12)</f>
        <v>7.0931295046906708</v>
      </c>
      <c r="O12" s="10"/>
      <c r="P12" s="4">
        <f>SUM(OSRRefP13x_0)</f>
        <v>3171505.43</v>
      </c>
      <c r="Q12" s="4"/>
      <c r="R12" s="12"/>
      <c r="S12" s="4"/>
      <c r="T12" s="4">
        <f>SUM(OSRRefT13x_0)</f>
        <v>651109.09</v>
      </c>
      <c r="U12" s="4"/>
      <c r="V12" s="12"/>
      <c r="W12" s="4"/>
      <c r="X12" s="4">
        <f t="shared" ref="X12:X15" si="2">+P12-T12</f>
        <v>2520396.3400000003</v>
      </c>
      <c r="Y12" s="4"/>
      <c r="Z12" s="12">
        <f t="shared" ref="Z12:Z15" si="3">IF(T12=0,0,X12/T12)</f>
        <v>3.8709278962761839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--58.73</f>
        <v>58.73</v>
      </c>
      <c r="E13" s="2"/>
      <c r="F13" s="19"/>
      <c r="G13" s="2"/>
      <c r="H13" s="2">
        <f>--46.44</f>
        <v>46.44</v>
      </c>
      <c r="I13" s="2"/>
      <c r="J13" s="19"/>
      <c r="K13" s="2"/>
      <c r="L13" s="2">
        <f t="shared" si="0"/>
        <v>12.29</v>
      </c>
      <c r="M13" s="2"/>
      <c r="N13" s="19">
        <f t="shared" si="1"/>
        <v>0.26464254952627048</v>
      </c>
      <c r="O13" s="11"/>
      <c r="P13" s="2">
        <f>--635.49</f>
        <v>635.49</v>
      </c>
      <c r="Q13" s="2"/>
      <c r="R13" s="19"/>
      <c r="S13" s="2"/>
      <c r="T13" s="2">
        <f>--361.87</f>
        <v>361.87</v>
      </c>
      <c r="U13" s="2"/>
      <c r="V13" s="19"/>
      <c r="W13" s="2"/>
      <c r="X13" s="2">
        <f t="shared" si="2"/>
        <v>273.62</v>
      </c>
      <c r="Y13" s="2"/>
      <c r="Z13" s="19">
        <f t="shared" si="3"/>
        <v>0.7561278912316578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--309702.33</f>
        <v>309702.33</v>
      </c>
      <c r="E14" s="2"/>
      <c r="F14" s="19"/>
      <c r="G14" s="2"/>
      <c r="H14" s="2">
        <f>--35996.95</f>
        <v>35996.949999999997</v>
      </c>
      <c r="I14" s="2"/>
      <c r="J14" s="19"/>
      <c r="K14" s="2"/>
      <c r="L14" s="2">
        <f t="shared" si="0"/>
        <v>273705.38</v>
      </c>
      <c r="M14" s="2"/>
      <c r="N14" s="19">
        <f t="shared" si="1"/>
        <v>7.6035714136892159</v>
      </c>
      <c r="O14" s="11"/>
      <c r="P14" s="2">
        <f>--3156072.18</f>
        <v>3156072.18</v>
      </c>
      <c r="Q14" s="2"/>
      <c r="R14" s="19"/>
      <c r="S14" s="2"/>
      <c r="T14" s="2">
        <f>--626106.33</f>
        <v>626106.32999999996</v>
      </c>
      <c r="U14" s="2"/>
      <c r="V14" s="19"/>
      <c r="W14" s="2"/>
      <c r="X14" s="2">
        <f t="shared" si="2"/>
        <v>2529965.85</v>
      </c>
      <c r="Y14" s="2"/>
      <c r="Z14" s="19">
        <f t="shared" si="3"/>
        <v>4.0407926398060861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--1106.97</f>
        <v>1106.97</v>
      </c>
      <c r="E15" s="2"/>
      <c r="F15" s="19"/>
      <c r="G15" s="2"/>
      <c r="H15" s="2">
        <f>--2367.96</f>
        <v>2367.96</v>
      </c>
      <c r="I15" s="2"/>
      <c r="J15" s="19"/>
      <c r="K15" s="2"/>
      <c r="L15" s="2">
        <f t="shared" si="0"/>
        <v>-1260.99</v>
      </c>
      <c r="M15" s="2"/>
      <c r="N15" s="19">
        <f t="shared" si="1"/>
        <v>-0.53252166421730096</v>
      </c>
      <c r="O15" s="11"/>
      <c r="P15" s="2">
        <f>--14797.76</f>
        <v>14797.76</v>
      </c>
      <c r="Q15" s="2"/>
      <c r="R15" s="19"/>
      <c r="S15" s="2"/>
      <c r="T15" s="2">
        <f>--24640.89</f>
        <v>24640.89</v>
      </c>
      <c r="U15" s="2"/>
      <c r="V15" s="19"/>
      <c r="W15" s="2"/>
      <c r="X15" s="2">
        <f t="shared" si="2"/>
        <v>-9843.1299999999992</v>
      </c>
      <c r="Y15" s="2"/>
      <c r="Z15" s="19">
        <f t="shared" si="3"/>
        <v>-0.39946324990696358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40781.550000000003</v>
      </c>
      <c r="E17" s="4"/>
      <c r="F17" s="12">
        <f t="shared" ref="F17:F19" si="4">IF(D$12=0,0,D17/D$12)</f>
        <v>0.13118605345168496</v>
      </c>
      <c r="G17" s="4"/>
      <c r="H17" s="4">
        <f>SUM(OSRRefH16x_0)</f>
        <v>31982.57</v>
      </c>
      <c r="I17" s="4"/>
      <c r="J17" s="12">
        <f t="shared" ref="J17:J19" si="5">IF(H$12=0,0,H17/H$12)</f>
        <v>0.83263332322347439</v>
      </c>
      <c r="K17" s="4"/>
      <c r="L17" s="4">
        <f t="shared" ref="L17:L19" si="6">+D17-H17</f>
        <v>8798.9800000000032</v>
      </c>
      <c r="M17" s="4"/>
      <c r="N17" s="12">
        <f t="shared" ref="N17:N19" si="7">IF(H17=0,0,L17/H17)</f>
        <v>0.27511797832381835</v>
      </c>
      <c r="O17" s="10"/>
      <c r="P17" s="4">
        <f>SUM(OSRRefP16x_0)</f>
        <v>773816.23</v>
      </c>
      <c r="Q17" s="4"/>
      <c r="R17" s="12">
        <f t="shared" ref="R17:R19" si="8">IF(P$12=0,0,P17/P$12)</f>
        <v>0.24399019553310364</v>
      </c>
      <c r="S17" s="4"/>
      <c r="T17" s="4">
        <f>SUM(OSRRefT16x_0)</f>
        <v>257524.45999999996</v>
      </c>
      <c r="U17" s="4"/>
      <c r="V17" s="12">
        <f t="shared" ref="V17:V19" si="9">IF(T$12=0,0,T17/T$12)</f>
        <v>0.39551660997391386</v>
      </c>
      <c r="W17" s="4"/>
      <c r="X17" s="4">
        <f t="shared" ref="X17:X19" si="10">+P17-T17</f>
        <v>516291.77</v>
      </c>
      <c r="Y17" s="4"/>
      <c r="Z17" s="12">
        <f t="shared" ref="Z17:Z19" si="11">IF(T17=0,0,X17/T17)</f>
        <v>2.0048261435049706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56297.55</v>
      </c>
      <c r="E18" s="2"/>
      <c r="F18" s="19">
        <f t="shared" si="4"/>
        <v>0.18109790833106901</v>
      </c>
      <c r="G18" s="2"/>
      <c r="H18" s="2">
        <v>29350.59</v>
      </c>
      <c r="I18" s="2"/>
      <c r="J18" s="19">
        <f t="shared" si="5"/>
        <v>0.76411243031031195</v>
      </c>
      <c r="K18" s="2"/>
      <c r="L18" s="2">
        <f t="shared" si="6"/>
        <v>26946.960000000003</v>
      </c>
      <c r="M18" s="2"/>
      <c r="N18" s="19">
        <f t="shared" si="7"/>
        <v>0.91810624590510792</v>
      </c>
      <c r="O18" s="11"/>
      <c r="P18" s="2">
        <v>780710.23</v>
      </c>
      <c r="Q18" s="2"/>
      <c r="R18" s="19">
        <f t="shared" si="8"/>
        <v>0.24616392663719952</v>
      </c>
      <c r="S18" s="2"/>
      <c r="T18" s="2">
        <v>271268.15999999997</v>
      </c>
      <c r="U18" s="2"/>
      <c r="V18" s="19">
        <f t="shared" si="9"/>
        <v>0.41662474716794384</v>
      </c>
      <c r="W18" s="2"/>
      <c r="X18" s="2">
        <f t="shared" si="10"/>
        <v>509442.07</v>
      </c>
      <c r="Y18" s="2"/>
      <c r="Z18" s="19">
        <f t="shared" si="11"/>
        <v>1.8780017160878744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-15516</v>
      </c>
      <c r="E19" s="2"/>
      <c r="F19" s="19">
        <f t="shared" si="4"/>
        <v>-4.9911854879384029E-2</v>
      </c>
      <c r="G19" s="2"/>
      <c r="H19" s="2">
        <v>2631.98</v>
      </c>
      <c r="I19" s="2"/>
      <c r="J19" s="19">
        <f t="shared" si="5"/>
        <v>6.8520892913162393E-2</v>
      </c>
      <c r="K19" s="2"/>
      <c r="L19" s="2">
        <f t="shared" si="6"/>
        <v>-18147.98</v>
      </c>
      <c r="M19" s="2"/>
      <c r="N19" s="19">
        <f t="shared" si="7"/>
        <v>-6.8951815743280722</v>
      </c>
      <c r="O19" s="11"/>
      <c r="P19" s="2">
        <v>-6894</v>
      </c>
      <c r="Q19" s="2"/>
      <c r="R19" s="19">
        <f t="shared" si="8"/>
        <v>-2.1737311040958868E-3</v>
      </c>
      <c r="S19" s="2"/>
      <c r="T19" s="2">
        <v>-13743.7</v>
      </c>
      <c r="U19" s="2"/>
      <c r="V19" s="19">
        <f t="shared" si="9"/>
        <v>-2.1108137194029961E-2</v>
      </c>
      <c r="W19" s="2"/>
      <c r="X19" s="2">
        <f t="shared" si="10"/>
        <v>6849.7000000000007</v>
      </c>
      <c r="Y19" s="2"/>
      <c r="Z19" s="19">
        <f t="shared" si="11"/>
        <v>-0.49838835248150065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270086.48</v>
      </c>
      <c r="E21" s="13"/>
      <c r="F21" s="22">
        <f>IF(D$12=0,0,D21/D$12)</f>
        <v>0.86881394654831512</v>
      </c>
      <c r="G21" s="13"/>
      <c r="H21" s="21">
        <f>H12-H17</f>
        <v>6428.7799999999988</v>
      </c>
      <c r="I21" s="13"/>
      <c r="J21" s="22">
        <f>IF(H$12=0,0,H21/H$12)</f>
        <v>0.16736667677652567</v>
      </c>
      <c r="K21" s="15"/>
      <c r="L21" s="21">
        <f>+D21-H21</f>
        <v>263657.69999999995</v>
      </c>
      <c r="M21" s="15"/>
      <c r="N21" s="22">
        <f>IF(H21=0,0,L21/H21)</f>
        <v>41.012089385544378</v>
      </c>
      <c r="O21" s="26"/>
      <c r="P21" s="21">
        <f>P12-P17</f>
        <v>2397689.2000000002</v>
      </c>
      <c r="Q21" s="13"/>
      <c r="R21" s="22">
        <f>IF(P$12=0,0,P21/P$12)</f>
        <v>0.75600980446689636</v>
      </c>
      <c r="S21" s="13"/>
      <c r="T21" s="21">
        <f>T12-T17</f>
        <v>393584.63</v>
      </c>
      <c r="U21" s="13"/>
      <c r="V21" s="22">
        <f>IF(T$12=0,0,T21/T$12)</f>
        <v>0.60448339002608609</v>
      </c>
      <c r="W21" s="15"/>
      <c r="X21" s="21">
        <f>+P21-T21</f>
        <v>2004104.5700000003</v>
      </c>
      <c r="Y21" s="15"/>
      <c r="Z21" s="22">
        <f>IF(T21=0,0,X21/T21)</f>
        <v>5.0919279291978459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127504.17000000003</v>
      </c>
      <c r="E23" s="20"/>
      <c r="F23" s="30">
        <f t="shared" ref="F23:F33" si="12">IF(D$12=0,0,D23/D$12)</f>
        <v>0.41015529966204645</v>
      </c>
      <c r="G23" s="20"/>
      <c r="H23" s="20">
        <f>SUM(OSRRefH22x_0)</f>
        <v>69417.709999999992</v>
      </c>
      <c r="I23" s="20"/>
      <c r="J23" s="30">
        <f t="shared" ref="J23:J33" si="13">IF(H$12=0,0,H23/H$12)</f>
        <v>1.8072186996812138</v>
      </c>
      <c r="K23" s="4"/>
      <c r="L23" s="20">
        <f t="shared" ref="L23:L33" si="14">+D23-H23</f>
        <v>58086.460000000036</v>
      </c>
      <c r="M23" s="4"/>
      <c r="N23" s="30">
        <f t="shared" ref="N23:N33" si="15">IF(H23=0,0,L23/H23)</f>
        <v>0.83676715927390921</v>
      </c>
      <c r="O23" s="10"/>
      <c r="P23" s="20">
        <f>SUM(OSRRefP22x_0)</f>
        <v>1241415.4700000002</v>
      </c>
      <c r="Q23" s="20"/>
      <c r="R23" s="30">
        <f t="shared" ref="R23:R33" si="16">IF(P$12=0,0,P23/P$12)</f>
        <v>0.39142782423046335</v>
      </c>
      <c r="S23" s="20"/>
      <c r="T23" s="20">
        <f>SUM(OSRRefT22x_0)</f>
        <v>808923.05999999971</v>
      </c>
      <c r="U23" s="20"/>
      <c r="V23" s="30">
        <f t="shared" ref="V23:V33" si="17">IF(T$12=0,0,T23/T$12)</f>
        <v>1.2423771567987167</v>
      </c>
      <c r="W23" s="4"/>
      <c r="X23" s="20">
        <f t="shared" ref="X23:X33" si="18">+P23-T23</f>
        <v>432492.4100000005</v>
      </c>
      <c r="Y23" s="4"/>
      <c r="Z23" s="30">
        <f t="shared" ref="Z23:Z33" si="19">IF(T23=0,0,X23/T23)</f>
        <v>0.53465209657887691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26798.07</v>
      </c>
      <c r="E24" s="1"/>
      <c r="F24" s="5">
        <f t="shared" si="12"/>
        <v>8.6204007533357496E-2</v>
      </c>
      <c r="G24" s="1"/>
      <c r="H24" s="1">
        <f>SUM(OSRRefH22_0x_0)</f>
        <v>28877.140000000003</v>
      </c>
      <c r="I24" s="1"/>
      <c r="J24" s="5">
        <f t="shared" si="13"/>
        <v>0.7517866463948808</v>
      </c>
      <c r="K24" s="1"/>
      <c r="L24" s="1">
        <f t="shared" si="14"/>
        <v>-2079.0700000000033</v>
      </c>
      <c r="M24" s="1"/>
      <c r="N24" s="5">
        <f t="shared" si="15"/>
        <v>-7.1997088354317743E-2</v>
      </c>
      <c r="O24" s="14"/>
      <c r="P24" s="1">
        <f>SUM(OSRRefP22_0x_0)</f>
        <v>212531.67</v>
      </c>
      <c r="Q24" s="1"/>
      <c r="R24" s="5">
        <f t="shared" si="16"/>
        <v>6.7012866504850985E-2</v>
      </c>
      <c r="S24" s="1"/>
      <c r="T24" s="1">
        <f>SUM(OSRRefT22_0x_0)</f>
        <v>215241.73</v>
      </c>
      <c r="U24" s="1"/>
      <c r="V24" s="5">
        <f t="shared" si="17"/>
        <v>0.33057706197896886</v>
      </c>
      <c r="W24" s="1"/>
      <c r="X24" s="1">
        <f t="shared" si="18"/>
        <v>-2710.0599999999977</v>
      </c>
      <c r="Y24" s="1"/>
      <c r="Z24" s="5">
        <f t="shared" si="19"/>
        <v>-1.2590774103144393E-2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3152.36</v>
      </c>
      <c r="E25" s="2"/>
      <c r="F25" s="6">
        <f t="shared" si="12"/>
        <v>1.014050881977153E-2</v>
      </c>
      <c r="G25" s="2"/>
      <c r="H25" s="7">
        <v>3152.67</v>
      </c>
      <c r="I25" s="2"/>
      <c r="J25" s="6">
        <f t="shared" si="13"/>
        <v>8.2076521653105139E-2</v>
      </c>
      <c r="K25" s="2"/>
      <c r="L25" s="7">
        <f t="shared" si="14"/>
        <v>-0.30999999999994543</v>
      </c>
      <c r="M25" s="2"/>
      <c r="N25" s="6">
        <f t="shared" si="15"/>
        <v>-9.8329352580493813E-5</v>
      </c>
      <c r="O25" s="11"/>
      <c r="P25" s="7">
        <v>32461.15</v>
      </c>
      <c r="Q25" s="2"/>
      <c r="R25" s="6">
        <f t="shared" si="16"/>
        <v>1.0235249699698606E-2</v>
      </c>
      <c r="S25" s="2"/>
      <c r="T25" s="7">
        <v>24804.76</v>
      </c>
      <c r="U25" s="2"/>
      <c r="V25" s="6">
        <f t="shared" si="17"/>
        <v>3.8096166035709929E-2</v>
      </c>
      <c r="W25" s="2"/>
      <c r="X25" s="7">
        <f t="shared" si="18"/>
        <v>7656.3900000000031</v>
      </c>
      <c r="Y25" s="2"/>
      <c r="Z25" s="6">
        <f t="shared" si="19"/>
        <v>0.30866615923717883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1773.5</v>
      </c>
      <c r="E26" s="2"/>
      <c r="F26" s="6">
        <f t="shared" si="12"/>
        <v>5.7049932088545745E-3</v>
      </c>
      <c r="G26" s="2"/>
      <c r="H26" s="7">
        <v>75.34</v>
      </c>
      <c r="I26" s="2"/>
      <c r="J26" s="6">
        <f t="shared" si="13"/>
        <v>1.9613994301163592E-3</v>
      </c>
      <c r="K26" s="2"/>
      <c r="L26" s="7">
        <f t="shared" si="14"/>
        <v>1698.16</v>
      </c>
      <c r="M26" s="2"/>
      <c r="N26" s="6">
        <f t="shared" si="15"/>
        <v>22.539952216617998</v>
      </c>
      <c r="O26" s="11"/>
      <c r="P26" s="7">
        <v>19830.740000000002</v>
      </c>
      <c r="Q26" s="2"/>
      <c r="R26" s="6">
        <f t="shared" si="16"/>
        <v>6.2527845017752342E-3</v>
      </c>
      <c r="S26" s="2"/>
      <c r="T26" s="7">
        <v>17266.09</v>
      </c>
      <c r="U26" s="2"/>
      <c r="V26" s="6">
        <f t="shared" si="17"/>
        <v>2.6517967979835761E-2</v>
      </c>
      <c r="W26" s="2"/>
      <c r="X26" s="7">
        <f t="shared" si="18"/>
        <v>2564.6500000000015</v>
      </c>
      <c r="Y26" s="2"/>
      <c r="Z26" s="6">
        <f t="shared" si="19"/>
        <v>0.14853681406734248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12270.9</v>
      </c>
      <c r="E27" s="2"/>
      <c r="F27" s="6">
        <f t="shared" si="12"/>
        <v>3.9473020110816805E-2</v>
      </c>
      <c r="G27" s="2"/>
      <c r="H27" s="7">
        <v>17691.580000000002</v>
      </c>
      <c r="I27" s="2"/>
      <c r="J27" s="6">
        <f t="shared" si="13"/>
        <v>0.46058209357390467</v>
      </c>
      <c r="K27" s="2"/>
      <c r="L27" s="7">
        <f t="shared" si="14"/>
        <v>-5420.6800000000021</v>
      </c>
      <c r="M27" s="2"/>
      <c r="N27" s="6">
        <f t="shared" si="15"/>
        <v>-0.30639886318802512</v>
      </c>
      <c r="O27" s="11"/>
      <c r="P27" s="7">
        <v>104117.45</v>
      </c>
      <c r="Q27" s="2"/>
      <c r="R27" s="6">
        <f t="shared" si="16"/>
        <v>3.2829030975362383E-2</v>
      </c>
      <c r="S27" s="2"/>
      <c r="T27" s="7">
        <v>120695.38</v>
      </c>
      <c r="U27" s="2"/>
      <c r="V27" s="6">
        <f t="shared" si="17"/>
        <v>0.18536890646082058</v>
      </c>
      <c r="W27" s="2"/>
      <c r="X27" s="7">
        <f t="shared" si="18"/>
        <v>-16577.930000000008</v>
      </c>
      <c r="Y27" s="2"/>
      <c r="Z27" s="6">
        <f t="shared" si="19"/>
        <v>-0.13735347616453925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128.09</v>
      </c>
      <c r="E28" s="2"/>
      <c r="F28" s="6">
        <f t="shared" si="12"/>
        <v>4.1203979708045248E-4</v>
      </c>
      <c r="G28" s="2"/>
      <c r="H28" s="7">
        <v>274.18</v>
      </c>
      <c r="I28" s="2"/>
      <c r="J28" s="6">
        <f t="shared" si="13"/>
        <v>7.1379943688519151E-3</v>
      </c>
      <c r="K28" s="2"/>
      <c r="L28" s="7">
        <f t="shared" si="14"/>
        <v>-146.09</v>
      </c>
      <c r="M28" s="2"/>
      <c r="N28" s="6">
        <f t="shared" si="15"/>
        <v>-0.53282515136042019</v>
      </c>
      <c r="O28" s="11"/>
      <c r="P28" s="7">
        <v>1432.21</v>
      </c>
      <c r="Q28" s="2"/>
      <c r="R28" s="6">
        <f t="shared" si="16"/>
        <v>4.5158680368395269E-4</v>
      </c>
      <c r="S28" s="2"/>
      <c r="T28" s="7">
        <v>1118.55</v>
      </c>
      <c r="U28" s="2"/>
      <c r="V28" s="6">
        <f t="shared" si="17"/>
        <v>1.7179148888859777E-3</v>
      </c>
      <c r="W28" s="2"/>
      <c r="X28" s="7">
        <f t="shared" si="18"/>
        <v>313.66000000000008</v>
      </c>
      <c r="Y28" s="2"/>
      <c r="Z28" s="6">
        <f t="shared" si="19"/>
        <v>0.28041661079075597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1163.51</v>
      </c>
      <c r="E29" s="2"/>
      <c r="F29" s="6">
        <f t="shared" si="12"/>
        <v>3.7427779241242663E-3</v>
      </c>
      <c r="G29" s="2"/>
      <c r="H29" s="7">
        <v>2186.25</v>
      </c>
      <c r="I29" s="2"/>
      <c r="J29" s="6">
        <f t="shared" si="13"/>
        <v>5.6916770694078703E-2</v>
      </c>
      <c r="K29" s="2"/>
      <c r="L29" s="7">
        <f t="shared" si="14"/>
        <v>-1022.74</v>
      </c>
      <c r="M29" s="2"/>
      <c r="N29" s="6">
        <f t="shared" si="15"/>
        <v>-0.46780560320182962</v>
      </c>
      <c r="O29" s="11"/>
      <c r="P29" s="7">
        <v>10543.07</v>
      </c>
      <c r="Q29" s="2"/>
      <c r="R29" s="6">
        <f t="shared" si="16"/>
        <v>3.3243108778155234E-3</v>
      </c>
      <c r="S29" s="2"/>
      <c r="T29" s="7">
        <v>11726.56</v>
      </c>
      <c r="U29" s="2"/>
      <c r="V29" s="6">
        <f t="shared" si="17"/>
        <v>1.8010130990491931E-2</v>
      </c>
      <c r="W29" s="2"/>
      <c r="X29" s="7">
        <f t="shared" si="18"/>
        <v>-1183.4899999999998</v>
      </c>
      <c r="Y29" s="2"/>
      <c r="Z29" s="6">
        <f t="shared" si="19"/>
        <v>-0.10092388560669112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724.14</v>
      </c>
      <c r="E30" s="2"/>
      <c r="F30" s="6">
        <f t="shared" si="12"/>
        <v>2.3294129023174242E-3</v>
      </c>
      <c r="G30" s="2"/>
      <c r="H30" s="7">
        <v>531.84</v>
      </c>
      <c r="I30" s="2"/>
      <c r="J30" s="6">
        <f t="shared" si="13"/>
        <v>1.384590752472902E-2</v>
      </c>
      <c r="K30" s="2"/>
      <c r="L30" s="7">
        <f t="shared" si="14"/>
        <v>192.29999999999995</v>
      </c>
      <c r="M30" s="2"/>
      <c r="N30" s="6">
        <f t="shared" si="15"/>
        <v>0.36157490974729234</v>
      </c>
      <c r="O30" s="11"/>
      <c r="P30" s="7">
        <v>3302.17</v>
      </c>
      <c r="Q30" s="2"/>
      <c r="R30" s="6">
        <f t="shared" si="16"/>
        <v>1.0411995416321894E-3</v>
      </c>
      <c r="S30" s="2"/>
      <c r="T30" s="7">
        <v>3727.06</v>
      </c>
      <c r="U30" s="2"/>
      <c r="V30" s="6">
        <f t="shared" si="17"/>
        <v>5.7241713519926444E-3</v>
      </c>
      <c r="W30" s="2"/>
      <c r="X30" s="7">
        <f t="shared" si="18"/>
        <v>-424.88999999999987</v>
      </c>
      <c r="Y30" s="2"/>
      <c r="Z30" s="6">
        <f t="shared" si="19"/>
        <v>-0.11400138446925992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4206.37</v>
      </c>
      <c r="E31" s="2"/>
      <c r="F31" s="6">
        <f t="shared" si="12"/>
        <v>1.3531047242136801E-2</v>
      </c>
      <c r="G31" s="2"/>
      <c r="H31" s="7">
        <v>2606.96</v>
      </c>
      <c r="I31" s="2"/>
      <c r="J31" s="6">
        <f t="shared" si="13"/>
        <v>6.7869522940485039E-2</v>
      </c>
      <c r="K31" s="2"/>
      <c r="L31" s="7">
        <f t="shared" si="14"/>
        <v>1599.4099999999999</v>
      </c>
      <c r="M31" s="2"/>
      <c r="N31" s="6">
        <f t="shared" si="15"/>
        <v>0.61351535888544506</v>
      </c>
      <c r="O31" s="11"/>
      <c r="P31" s="7">
        <v>20155.11</v>
      </c>
      <c r="Q31" s="2"/>
      <c r="R31" s="6">
        <f t="shared" si="16"/>
        <v>6.355060851968965E-3</v>
      </c>
      <c r="S31" s="2"/>
      <c r="T31" s="7">
        <v>18639.900000000001</v>
      </c>
      <c r="U31" s="2"/>
      <c r="V31" s="6">
        <f t="shared" si="17"/>
        <v>2.8627921628309631E-2</v>
      </c>
      <c r="W31" s="2"/>
      <c r="X31" s="7">
        <f t="shared" si="18"/>
        <v>1515.2099999999991</v>
      </c>
      <c r="Y31" s="2"/>
      <c r="Z31" s="6">
        <f t="shared" si="19"/>
        <v>8.1288526225999011E-2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2761.95</v>
      </c>
      <c r="E32" s="2"/>
      <c r="F32" s="6">
        <f t="shared" si="12"/>
        <v>8.8846382820388457E-3</v>
      </c>
      <c r="G32" s="2"/>
      <c r="H32" s="7">
        <v>1633.22</v>
      </c>
      <c r="I32" s="2"/>
      <c r="J32" s="6">
        <f t="shared" si="13"/>
        <v>4.2519203308397133E-2</v>
      </c>
      <c r="K32" s="2"/>
      <c r="L32" s="7">
        <f t="shared" si="14"/>
        <v>1128.7299999999998</v>
      </c>
      <c r="M32" s="2"/>
      <c r="N32" s="6">
        <f t="shared" si="15"/>
        <v>0.6911071380463133</v>
      </c>
      <c r="O32" s="11"/>
      <c r="P32" s="7">
        <v>13832.25</v>
      </c>
      <c r="Q32" s="2"/>
      <c r="R32" s="6">
        <f t="shared" si="16"/>
        <v>4.3614145727633195E-3</v>
      </c>
      <c r="S32" s="2"/>
      <c r="T32" s="7">
        <v>11698.98</v>
      </c>
      <c r="U32" s="2"/>
      <c r="V32" s="6">
        <f t="shared" si="17"/>
        <v>1.7967772497232377E-2</v>
      </c>
      <c r="W32" s="2"/>
      <c r="X32" s="7">
        <f t="shared" si="18"/>
        <v>2133.2700000000004</v>
      </c>
      <c r="Y32" s="2"/>
      <c r="Z32" s="6">
        <f t="shared" si="19"/>
        <v>0.18234666611961048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617.25</v>
      </c>
      <c r="E33" s="2"/>
      <c r="F33" s="6">
        <f t="shared" si="12"/>
        <v>1.9855692462167952E-3</v>
      </c>
      <c r="G33" s="2"/>
      <c r="H33" s="7">
        <v>725.1</v>
      </c>
      <c r="I33" s="2"/>
      <c r="J33" s="6">
        <f t="shared" si="13"/>
        <v>1.8877232901212793E-2</v>
      </c>
      <c r="K33" s="2"/>
      <c r="L33" s="7">
        <f t="shared" si="14"/>
        <v>-107.85000000000002</v>
      </c>
      <c r="M33" s="2"/>
      <c r="N33" s="6">
        <f t="shared" si="15"/>
        <v>-0.14873810508895327</v>
      </c>
      <c r="O33" s="11"/>
      <c r="P33" s="7">
        <v>6857.52</v>
      </c>
      <c r="Q33" s="2"/>
      <c r="R33" s="6">
        <f t="shared" si="16"/>
        <v>2.1622286801508015E-3</v>
      </c>
      <c r="S33" s="2"/>
      <c r="T33" s="7">
        <v>5564.45</v>
      </c>
      <c r="U33" s="2"/>
      <c r="V33" s="6">
        <f t="shared" si="17"/>
        <v>8.5461101456900251E-3</v>
      </c>
      <c r="W33" s="2"/>
      <c r="X33" s="7">
        <f t="shared" si="18"/>
        <v>1293.0700000000006</v>
      </c>
      <c r="Y33" s="2"/>
      <c r="Z33" s="6">
        <f t="shared" si="19"/>
        <v>0.23238055872548063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63605.69</v>
      </c>
      <c r="E34" s="1"/>
      <c r="F34" s="5">
        <f t="shared" ref="F34:F39" si="20">IF(D$12=0,0,D34/D$12)</f>
        <v>0.20460672652636558</v>
      </c>
      <c r="G34" s="1"/>
      <c r="H34" s="1">
        <f>SUM(OSRRefH22_1x_0)</f>
        <v>51997.840000000004</v>
      </c>
      <c r="I34" s="1"/>
      <c r="J34" s="5">
        <f t="shared" ref="J34:J39" si="21">IF(H$12=0,0,H34/H$12)</f>
        <v>1.3537102965659891</v>
      </c>
      <c r="K34" s="1"/>
      <c r="L34" s="1">
        <f t="shared" ref="L34:L39" si="22">+D34-H34</f>
        <v>11607.849999999999</v>
      </c>
      <c r="M34" s="1"/>
      <c r="N34" s="5">
        <f t="shared" ref="N34:N39" si="23">IF(H34=0,0,L34/H34)</f>
        <v>0.22323715754346715</v>
      </c>
      <c r="O34" s="14"/>
      <c r="P34" s="1">
        <f>SUM(OSRRefP22_1x_0)</f>
        <v>602710.27</v>
      </c>
      <c r="Q34" s="1"/>
      <c r="R34" s="5">
        <f t="shared" ref="R34:R39" si="24">IF(P$12=0,0,P34/P$12)</f>
        <v>0.19003917328938641</v>
      </c>
      <c r="S34" s="1"/>
      <c r="T34" s="1">
        <f>SUM(OSRRefT22_1x_0)</f>
        <v>379944.87</v>
      </c>
      <c r="U34" s="1"/>
      <c r="V34" s="5">
        <f t="shared" ref="V34:V39" si="25">IF(T$12=0,0,T34/T$12)</f>
        <v>0.58353488813986609</v>
      </c>
      <c r="W34" s="1"/>
      <c r="X34" s="1">
        <f t="shared" ref="X34:X39" si="26">+P34-T34</f>
        <v>222765.40000000002</v>
      </c>
      <c r="Y34" s="1"/>
      <c r="Z34" s="5">
        <f t="shared" ref="Z34:Z39" si="27">IF(T34=0,0,X34/T34)</f>
        <v>0.58630979805043826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14511.56</v>
      </c>
      <c r="E35" s="2"/>
      <c r="F35" s="6">
        <f t="shared" si="20"/>
        <v>4.6680773188545639E-2</v>
      </c>
      <c r="G35" s="2"/>
      <c r="H35" s="7">
        <v>18971.47</v>
      </c>
      <c r="I35" s="2"/>
      <c r="J35" s="6">
        <f t="shared" si="21"/>
        <v>0.49390271365104327</v>
      </c>
      <c r="K35" s="2"/>
      <c r="L35" s="7">
        <f t="shared" si="22"/>
        <v>-4459.9100000000017</v>
      </c>
      <c r="M35" s="2"/>
      <c r="N35" s="6">
        <f t="shared" si="23"/>
        <v>-0.23508510410632394</v>
      </c>
      <c r="O35" s="11"/>
      <c r="P35" s="7">
        <v>118604.46</v>
      </c>
      <c r="Q35" s="2"/>
      <c r="R35" s="6">
        <f t="shared" si="24"/>
        <v>3.7396896400710249E-2</v>
      </c>
      <c r="S35" s="2"/>
      <c r="T35" s="7">
        <v>107466.7</v>
      </c>
      <c r="U35" s="2"/>
      <c r="V35" s="6">
        <f t="shared" si="25"/>
        <v>0.16505175807021832</v>
      </c>
      <c r="W35" s="2"/>
      <c r="X35" s="7">
        <f t="shared" si="26"/>
        <v>11137.760000000009</v>
      </c>
      <c r="Y35" s="2"/>
      <c r="Z35" s="6">
        <f t="shared" si="27"/>
        <v>0.10363917380918936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20199.490000000002</v>
      </c>
      <c r="E36" s="2"/>
      <c r="F36" s="6">
        <f t="shared" si="20"/>
        <v>6.4977701309459207E-2</v>
      </c>
      <c r="G36" s="2"/>
      <c r="H36" s="7">
        <v>12416.84</v>
      </c>
      <c r="I36" s="2"/>
      <c r="J36" s="6">
        <f t="shared" si="21"/>
        <v>0.32325966153233354</v>
      </c>
      <c r="K36" s="2"/>
      <c r="L36" s="7">
        <f t="shared" si="22"/>
        <v>7782.6500000000015</v>
      </c>
      <c r="M36" s="2"/>
      <c r="N36" s="6">
        <f t="shared" si="23"/>
        <v>0.62678185432042299</v>
      </c>
      <c r="O36" s="11"/>
      <c r="P36" s="7">
        <v>193979.68</v>
      </c>
      <c r="Q36" s="2"/>
      <c r="R36" s="6">
        <f t="shared" si="24"/>
        <v>6.1163281691117892E-2</v>
      </c>
      <c r="S36" s="2"/>
      <c r="T36" s="7">
        <v>109936.6</v>
      </c>
      <c r="U36" s="2"/>
      <c r="V36" s="6">
        <f t="shared" si="25"/>
        <v>0.16884513161995637</v>
      </c>
      <c r="W36" s="2"/>
      <c r="X36" s="7">
        <f t="shared" si="26"/>
        <v>84043.079999999987</v>
      </c>
      <c r="Y36" s="2"/>
      <c r="Z36" s="6">
        <f t="shared" si="27"/>
        <v>0.76446861190904558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3595.03</v>
      </c>
      <c r="E37" s="2"/>
      <c r="F37" s="6">
        <f t="shared" si="20"/>
        <v>1.1564489278617683E-2</v>
      </c>
      <c r="G37" s="2"/>
      <c r="H37" s="7">
        <v>8579.9500000000007</v>
      </c>
      <c r="I37" s="2"/>
      <c r="J37" s="6">
        <f t="shared" si="21"/>
        <v>0.22337017574232618</v>
      </c>
      <c r="K37" s="2"/>
      <c r="L37" s="7">
        <f t="shared" si="22"/>
        <v>-4984.92</v>
      </c>
      <c r="M37" s="2"/>
      <c r="N37" s="6">
        <f t="shared" si="23"/>
        <v>-0.58099639275287152</v>
      </c>
      <c r="O37" s="11"/>
      <c r="P37" s="7">
        <v>114602.4</v>
      </c>
      <c r="Q37" s="2"/>
      <c r="R37" s="6">
        <f t="shared" si="24"/>
        <v>3.6135016171168904E-2</v>
      </c>
      <c r="S37" s="2"/>
      <c r="T37" s="7">
        <v>70743.679999999993</v>
      </c>
      <c r="U37" s="2"/>
      <c r="V37" s="6">
        <f t="shared" si="25"/>
        <v>0.10865104033488458</v>
      </c>
      <c r="W37" s="2"/>
      <c r="X37" s="7">
        <f t="shared" si="26"/>
        <v>43858.720000000001</v>
      </c>
      <c r="Y37" s="2"/>
      <c r="Z37" s="6">
        <f t="shared" si="27"/>
        <v>0.61996661751268811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19632.16</v>
      </c>
      <c r="E38" s="2"/>
      <c r="F38" s="6">
        <f t="shared" si="20"/>
        <v>6.3152714674455268E-2</v>
      </c>
      <c r="G38" s="2"/>
      <c r="H38" s="7">
        <v>12029.58</v>
      </c>
      <c r="I38" s="2"/>
      <c r="J38" s="6">
        <f t="shared" si="21"/>
        <v>0.313177745640286</v>
      </c>
      <c r="K38" s="2"/>
      <c r="L38" s="7">
        <f t="shared" si="22"/>
        <v>7602.58</v>
      </c>
      <c r="M38" s="2"/>
      <c r="N38" s="6">
        <f t="shared" si="23"/>
        <v>0.63199047680800158</v>
      </c>
      <c r="O38" s="11"/>
      <c r="P38" s="7">
        <v>134453.78</v>
      </c>
      <c r="Q38" s="2"/>
      <c r="R38" s="6">
        <f t="shared" si="24"/>
        <v>4.2394308623334119E-2</v>
      </c>
      <c r="S38" s="2"/>
      <c r="T38" s="7">
        <v>81167.009999999995</v>
      </c>
      <c r="U38" s="2"/>
      <c r="V38" s="6">
        <f t="shared" si="25"/>
        <v>0.12465961733079167</v>
      </c>
      <c r="W38" s="2"/>
      <c r="X38" s="7">
        <f t="shared" si="26"/>
        <v>53286.770000000004</v>
      </c>
      <c r="Y38" s="2"/>
      <c r="Z38" s="6">
        <f t="shared" si="27"/>
        <v>0.65650773633277859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5667.45</v>
      </c>
      <c r="E39" s="2"/>
      <c r="F39" s="6">
        <f t="shared" si="20"/>
        <v>1.8231048075287769E-2</v>
      </c>
      <c r="G39" s="2"/>
      <c r="H39" s="7"/>
      <c r="I39" s="2"/>
      <c r="J39" s="6">
        <f t="shared" si="21"/>
        <v>0</v>
      </c>
      <c r="K39" s="2"/>
      <c r="L39" s="7">
        <f t="shared" si="22"/>
        <v>5667.45</v>
      </c>
      <c r="M39" s="2"/>
      <c r="N39" s="6">
        <f t="shared" si="23"/>
        <v>0</v>
      </c>
      <c r="O39" s="11"/>
      <c r="P39" s="7">
        <v>41069.949999999997</v>
      </c>
      <c r="Q39" s="2"/>
      <c r="R39" s="6">
        <f t="shared" si="24"/>
        <v>1.2949670403055244E-2</v>
      </c>
      <c r="S39" s="2"/>
      <c r="T39" s="7">
        <v>10630.88</v>
      </c>
      <c r="U39" s="2"/>
      <c r="V39" s="6">
        <f t="shared" si="25"/>
        <v>1.6327340784015165E-2</v>
      </c>
      <c r="W39" s="2"/>
      <c r="X39" s="7">
        <f t="shared" si="26"/>
        <v>30439.07</v>
      </c>
      <c r="Y39" s="2"/>
      <c r="Z39" s="6">
        <f t="shared" si="27"/>
        <v>2.8632690802642871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14.39</v>
      </c>
      <c r="E40" s="1"/>
      <c r="F40" s="5">
        <f t="shared" ref="F40:F60" si="28">IF(D$12=0,0,D40/D$12)</f>
        <v>4.6289739089606618E-5</v>
      </c>
      <c r="G40" s="1"/>
      <c r="H40" s="1">
        <f>SUM(OSRRefH22_2x_0)</f>
        <v>16.170000000000002</v>
      </c>
      <c r="I40" s="1"/>
      <c r="J40" s="5">
        <f t="shared" ref="J40:J60" si="29">IF(H$12=0,0,H40/H$12)</f>
        <v>4.2096932286941235E-4</v>
      </c>
      <c r="K40" s="1"/>
      <c r="L40" s="1">
        <f t="shared" ref="L40:L60" si="30">+D40-H40</f>
        <v>-1.7800000000000011</v>
      </c>
      <c r="M40" s="1"/>
      <c r="N40" s="5">
        <f t="shared" ref="N40:N60" si="31">IF(H40=0,0,L40/H40)</f>
        <v>-0.11008039579468157</v>
      </c>
      <c r="O40" s="14"/>
      <c r="P40" s="1">
        <f>SUM(OSRRefP22_2x_0)</f>
        <v>1037.69</v>
      </c>
      <c r="Q40" s="1"/>
      <c r="R40" s="5">
        <f t="shared" ref="R40:R60" si="32">IF(P$12=0,0,P40/P$12)</f>
        <v>3.271916201638034E-4</v>
      </c>
      <c r="S40" s="1"/>
      <c r="T40" s="1">
        <f>SUM(OSRRefT22_2x_0)</f>
        <v>1240.42</v>
      </c>
      <c r="U40" s="1"/>
      <c r="V40" s="5">
        <f t="shared" ref="V40:V60" si="33">IF(T$12=0,0,T40/T$12)</f>
        <v>1.9050878248374633E-3</v>
      </c>
      <c r="W40" s="1"/>
      <c r="X40" s="1">
        <f t="shared" ref="X40:X60" si="34">+P40-T40</f>
        <v>-202.73000000000002</v>
      </c>
      <c r="Y40" s="1"/>
      <c r="Z40" s="5">
        <f t="shared" ref="Z40:Z60" si="35">IF(T40=0,0,X40/T40)</f>
        <v>-0.16343657793328067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14.39</v>
      </c>
      <c r="E41" s="2"/>
      <c r="F41" s="6">
        <f t="shared" si="28"/>
        <v>4.6289739089606618E-5</v>
      </c>
      <c r="G41" s="2"/>
      <c r="H41" s="7">
        <v>16.170000000000002</v>
      </c>
      <c r="I41" s="2"/>
      <c r="J41" s="6">
        <f t="shared" si="29"/>
        <v>4.2096932286941235E-4</v>
      </c>
      <c r="K41" s="2"/>
      <c r="L41" s="7">
        <f t="shared" si="30"/>
        <v>-1.7800000000000011</v>
      </c>
      <c r="M41" s="2"/>
      <c r="N41" s="6">
        <f t="shared" si="31"/>
        <v>-0.11008039579468157</v>
      </c>
      <c r="O41" s="11"/>
      <c r="P41" s="7">
        <v>1037.69</v>
      </c>
      <c r="Q41" s="2"/>
      <c r="R41" s="6">
        <f t="shared" si="32"/>
        <v>3.271916201638034E-4</v>
      </c>
      <c r="S41" s="2"/>
      <c r="T41" s="7">
        <v>1240.42</v>
      </c>
      <c r="U41" s="2"/>
      <c r="V41" s="6">
        <f t="shared" si="33"/>
        <v>1.9050878248374633E-3</v>
      </c>
      <c r="W41" s="2"/>
      <c r="X41" s="7">
        <f t="shared" si="34"/>
        <v>-202.73000000000002</v>
      </c>
      <c r="Y41" s="2"/>
      <c r="Z41" s="6">
        <f t="shared" si="35"/>
        <v>-0.16343657793328067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9.1</v>
      </c>
      <c r="E42" s="1"/>
      <c r="F42" s="5">
        <f t="shared" si="28"/>
        <v>2.9272871835678955E-5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9.1</v>
      </c>
      <c r="M42" s="1"/>
      <c r="N42" s="5">
        <f t="shared" si="31"/>
        <v>0</v>
      </c>
      <c r="O42" s="14"/>
      <c r="P42" s="1">
        <f>SUM(OSRRefP22_3x_0)</f>
        <v>9.1</v>
      </c>
      <c r="Q42" s="1"/>
      <c r="R42" s="5">
        <f t="shared" si="32"/>
        <v>2.8692998327926556E-6</v>
      </c>
      <c r="S42" s="1"/>
      <c r="T42" s="1">
        <f>SUM(OSRRefT22_3x_0)</f>
        <v>40</v>
      </c>
      <c r="U42" s="1"/>
      <c r="V42" s="5">
        <f t="shared" si="33"/>
        <v>6.1433637794858613E-5</v>
      </c>
      <c r="W42" s="1"/>
      <c r="X42" s="1">
        <f t="shared" si="34"/>
        <v>-30.9</v>
      </c>
      <c r="Y42" s="1"/>
      <c r="Z42" s="5">
        <f t="shared" si="35"/>
        <v>-0.77249999999999996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7">
        <v>9.1</v>
      </c>
      <c r="E43" s="2"/>
      <c r="F43" s="6">
        <f t="shared" si="28"/>
        <v>2.9272871835678955E-5</v>
      </c>
      <c r="G43" s="2"/>
      <c r="H43" s="7"/>
      <c r="I43" s="2"/>
      <c r="J43" s="6">
        <f t="shared" si="29"/>
        <v>0</v>
      </c>
      <c r="K43" s="2"/>
      <c r="L43" s="7">
        <f t="shared" si="30"/>
        <v>9.1</v>
      </c>
      <c r="M43" s="2"/>
      <c r="N43" s="6">
        <f t="shared" si="31"/>
        <v>0</v>
      </c>
      <c r="O43" s="11"/>
      <c r="P43" s="7">
        <v>9.1</v>
      </c>
      <c r="Q43" s="2"/>
      <c r="R43" s="6">
        <f t="shared" si="32"/>
        <v>2.8692998327926556E-6</v>
      </c>
      <c r="S43" s="2"/>
      <c r="T43" s="7">
        <v>40</v>
      </c>
      <c r="U43" s="2"/>
      <c r="V43" s="6">
        <f t="shared" si="33"/>
        <v>6.1433637794858613E-5</v>
      </c>
      <c r="W43" s="2"/>
      <c r="X43" s="7">
        <f t="shared" si="34"/>
        <v>-30.9</v>
      </c>
      <c r="Y43" s="2"/>
      <c r="Z43" s="6">
        <f t="shared" si="35"/>
        <v>-0.77249999999999996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19.440000000000001</v>
      </c>
      <c r="E44" s="1"/>
      <c r="F44" s="5">
        <f t="shared" si="28"/>
        <v>6.2534574558857029E-5</v>
      </c>
      <c r="G44" s="1"/>
      <c r="H44" s="1">
        <f>SUM(OSRRefH22_4x_0)</f>
        <v>76.12</v>
      </c>
      <c r="I44" s="1"/>
      <c r="J44" s="5">
        <f t="shared" si="29"/>
        <v>1.9817059280655331E-3</v>
      </c>
      <c r="K44" s="1"/>
      <c r="L44" s="1">
        <f t="shared" si="30"/>
        <v>-56.680000000000007</v>
      </c>
      <c r="M44" s="1"/>
      <c r="N44" s="5">
        <f t="shared" si="31"/>
        <v>-0.74461376773515509</v>
      </c>
      <c r="O44" s="14"/>
      <c r="P44" s="1">
        <f>SUM(OSRRefP22_4x_0)</f>
        <v>352.03</v>
      </c>
      <c r="Q44" s="1"/>
      <c r="R44" s="5">
        <f t="shared" si="32"/>
        <v>1.109977604547251E-4</v>
      </c>
      <c r="S44" s="1"/>
      <c r="T44" s="1">
        <f>SUM(OSRRefT22_4x_0)</f>
        <v>111.32</v>
      </c>
      <c r="U44" s="1"/>
      <c r="V44" s="5">
        <f t="shared" si="33"/>
        <v>1.7096981398309152E-4</v>
      </c>
      <c r="W44" s="1"/>
      <c r="X44" s="1">
        <f t="shared" si="34"/>
        <v>240.70999999999998</v>
      </c>
      <c r="Y44" s="1"/>
      <c r="Z44" s="5">
        <f t="shared" si="35"/>
        <v>2.1623248293208768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19.440000000000001</v>
      </c>
      <c r="E45" s="2"/>
      <c r="F45" s="6">
        <f t="shared" si="28"/>
        <v>6.2534574558857029E-5</v>
      </c>
      <c r="G45" s="2"/>
      <c r="H45" s="7">
        <v>76.12</v>
      </c>
      <c r="I45" s="2"/>
      <c r="J45" s="6">
        <f t="shared" si="29"/>
        <v>1.9817059280655331E-3</v>
      </c>
      <c r="K45" s="2"/>
      <c r="L45" s="7">
        <f t="shared" si="30"/>
        <v>-56.680000000000007</v>
      </c>
      <c r="M45" s="2"/>
      <c r="N45" s="6">
        <f t="shared" si="31"/>
        <v>-0.74461376773515509</v>
      </c>
      <c r="O45" s="11"/>
      <c r="P45" s="7">
        <v>352.03</v>
      </c>
      <c r="Q45" s="2"/>
      <c r="R45" s="6">
        <f t="shared" si="32"/>
        <v>1.109977604547251E-4</v>
      </c>
      <c r="S45" s="2"/>
      <c r="T45" s="7">
        <v>111.32</v>
      </c>
      <c r="U45" s="2"/>
      <c r="V45" s="6">
        <f t="shared" si="33"/>
        <v>1.7096981398309152E-4</v>
      </c>
      <c r="W45" s="2"/>
      <c r="X45" s="7">
        <f t="shared" si="34"/>
        <v>240.70999999999998</v>
      </c>
      <c r="Y45" s="2"/>
      <c r="Z45" s="6">
        <f t="shared" si="35"/>
        <v>2.1623248293208768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8.7982672261280781E-4</v>
      </c>
      <c r="G46" s="1"/>
      <c r="H46" s="1">
        <f>SUM(OSRRefH22_5x_0)</f>
        <v>272.74</v>
      </c>
      <c r="I46" s="1"/>
      <c r="J46" s="5">
        <f t="shared" si="29"/>
        <v>7.1005054495611331E-3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1914.57</v>
      </c>
      <c r="Q46" s="1"/>
      <c r="R46" s="5">
        <f t="shared" si="32"/>
        <v>6.0367861328239944E-4</v>
      </c>
      <c r="S46" s="1"/>
      <c r="T46" s="1">
        <f>SUM(OSRRefT22_5x_0)</f>
        <v>1644.96</v>
      </c>
      <c r="U46" s="1"/>
      <c r="V46" s="5">
        <f t="shared" si="33"/>
        <v>2.5263969206757659E-3</v>
      </c>
      <c r="W46" s="1"/>
      <c r="X46" s="1">
        <f t="shared" si="34"/>
        <v>269.6099999999999</v>
      </c>
      <c r="Y46" s="1"/>
      <c r="Z46" s="5">
        <f t="shared" si="35"/>
        <v>0.16390064196089868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273.51</v>
      </c>
      <c r="E47" s="2"/>
      <c r="F47" s="6">
        <f t="shared" si="28"/>
        <v>8.7982672261280781E-4</v>
      </c>
      <c r="G47" s="2"/>
      <c r="H47" s="7">
        <v>272.74</v>
      </c>
      <c r="I47" s="2"/>
      <c r="J47" s="6">
        <f t="shared" si="29"/>
        <v>7.1005054495611331E-3</v>
      </c>
      <c r="K47" s="2"/>
      <c r="L47" s="7">
        <f t="shared" si="30"/>
        <v>0.76999999999998181</v>
      </c>
      <c r="M47" s="2"/>
      <c r="N47" s="6">
        <f t="shared" si="31"/>
        <v>2.8232015839260165E-3</v>
      </c>
      <c r="O47" s="11"/>
      <c r="P47" s="7">
        <v>1914.57</v>
      </c>
      <c r="Q47" s="2"/>
      <c r="R47" s="6">
        <f t="shared" si="32"/>
        <v>6.0367861328239944E-4</v>
      </c>
      <c r="S47" s="2"/>
      <c r="T47" s="7">
        <v>1644.96</v>
      </c>
      <c r="U47" s="2"/>
      <c r="V47" s="6">
        <f t="shared" si="33"/>
        <v>2.5263969206757659E-3</v>
      </c>
      <c r="W47" s="2"/>
      <c r="X47" s="7">
        <f t="shared" si="34"/>
        <v>269.6099999999999</v>
      </c>
      <c r="Y47" s="2"/>
      <c r="Z47" s="6">
        <f t="shared" si="35"/>
        <v>0.16390064196089868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1335.25</v>
      </c>
      <c r="E48" s="1"/>
      <c r="F48" s="5">
        <f t="shared" si="28"/>
        <v>4.2952310020428928E-3</v>
      </c>
      <c r="G48" s="1"/>
      <c r="H48" s="1">
        <f>SUM(OSRRefH22_6x_0)</f>
        <v>1459.14</v>
      </c>
      <c r="I48" s="1"/>
      <c r="J48" s="5">
        <f t="shared" si="29"/>
        <v>3.7987209509689195E-2</v>
      </c>
      <c r="K48" s="1"/>
      <c r="L48" s="1">
        <f t="shared" si="30"/>
        <v>-123.8900000000001</v>
      </c>
      <c r="M48" s="1"/>
      <c r="N48" s="5">
        <f t="shared" si="31"/>
        <v>-8.4906177611469832E-2</v>
      </c>
      <c r="O48" s="14"/>
      <c r="P48" s="1">
        <f>SUM(OSRRefP22_6x_0)</f>
        <v>13455.25</v>
      </c>
      <c r="Q48" s="1"/>
      <c r="R48" s="5">
        <f t="shared" si="32"/>
        <v>4.242543579690481E-3</v>
      </c>
      <c r="S48" s="1"/>
      <c r="T48" s="1">
        <f>SUM(OSRRefT22_6x_0)</f>
        <v>38281.15</v>
      </c>
      <c r="U48" s="1"/>
      <c r="V48" s="5">
        <f t="shared" si="33"/>
        <v>5.8793757586766304E-2</v>
      </c>
      <c r="W48" s="1"/>
      <c r="X48" s="1">
        <f t="shared" si="34"/>
        <v>-24825.9</v>
      </c>
      <c r="Y48" s="1"/>
      <c r="Z48" s="5">
        <f t="shared" si="35"/>
        <v>-0.64851500020244957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7">
        <v>1335.25</v>
      </c>
      <c r="E49" s="2"/>
      <c r="F49" s="6">
        <f t="shared" si="28"/>
        <v>4.2952310020428928E-3</v>
      </c>
      <c r="G49" s="2"/>
      <c r="H49" s="7">
        <v>1459.14</v>
      </c>
      <c r="I49" s="2"/>
      <c r="J49" s="6">
        <f t="shared" si="29"/>
        <v>3.7987209509689195E-2</v>
      </c>
      <c r="K49" s="2"/>
      <c r="L49" s="7">
        <f t="shared" si="30"/>
        <v>-123.8900000000001</v>
      </c>
      <c r="M49" s="2"/>
      <c r="N49" s="6">
        <f t="shared" si="31"/>
        <v>-8.4906177611469832E-2</v>
      </c>
      <c r="O49" s="11"/>
      <c r="P49" s="7">
        <v>13455.25</v>
      </c>
      <c r="Q49" s="2"/>
      <c r="R49" s="6">
        <f t="shared" si="32"/>
        <v>4.242543579690481E-3</v>
      </c>
      <c r="S49" s="2"/>
      <c r="T49" s="7">
        <v>38281.15</v>
      </c>
      <c r="U49" s="2"/>
      <c r="V49" s="6">
        <f t="shared" si="33"/>
        <v>5.8793757586766304E-2</v>
      </c>
      <c r="W49" s="2"/>
      <c r="X49" s="7">
        <f t="shared" si="34"/>
        <v>-24825.9</v>
      </c>
      <c r="Y49" s="2"/>
      <c r="Z49" s="6">
        <f t="shared" si="35"/>
        <v>-0.64851500020244957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28"/>
        <v>0</v>
      </c>
      <c r="G50" s="1"/>
      <c r="H50" s="1">
        <f>SUM(OSRRefH22_7x_0)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SUM(OSRRefP22_7x_0)</f>
        <v>113.4</v>
      </c>
      <c r="Q50" s="1"/>
      <c r="R50" s="5">
        <f t="shared" si="32"/>
        <v>3.5755890224031555E-5</v>
      </c>
      <c r="S50" s="1"/>
      <c r="T50" s="1">
        <f>SUM(OSRRefT22_7x_0)</f>
        <v>0</v>
      </c>
      <c r="U50" s="1"/>
      <c r="V50" s="5">
        <f t="shared" si="33"/>
        <v>0</v>
      </c>
      <c r="W50" s="1"/>
      <c r="X50" s="1">
        <f t="shared" si="34"/>
        <v>113.4</v>
      </c>
      <c r="Y50" s="1"/>
      <c r="Z50" s="5">
        <f t="shared" si="35"/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8"/>
        <v>0</v>
      </c>
      <c r="G51" s="2"/>
      <c r="H51" s="7"/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>
        <v>113.4</v>
      </c>
      <c r="Q51" s="2"/>
      <c r="R51" s="6">
        <f t="shared" si="32"/>
        <v>3.5755890224031555E-5</v>
      </c>
      <c r="S51" s="2"/>
      <c r="T51" s="7"/>
      <c r="U51" s="2"/>
      <c r="V51" s="6">
        <f t="shared" si="33"/>
        <v>0</v>
      </c>
      <c r="W51" s="2"/>
      <c r="X51" s="7">
        <f t="shared" si="34"/>
        <v>113.4</v>
      </c>
      <c r="Y51" s="2"/>
      <c r="Z51" s="6">
        <f t="shared" si="35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249.74</v>
      </c>
      <c r="E52" s="1"/>
      <c r="F52" s="5">
        <f t="shared" si="28"/>
        <v>8.0336340793873214E-4</v>
      </c>
      <c r="G52" s="1"/>
      <c r="H52" s="1">
        <f>SUM(OSRRefH22_8x_0)</f>
        <v>245.6</v>
      </c>
      <c r="I52" s="1"/>
      <c r="J52" s="5">
        <f t="shared" si="29"/>
        <v>6.3939434568168006E-3</v>
      </c>
      <c r="K52" s="1"/>
      <c r="L52" s="1">
        <f t="shared" si="30"/>
        <v>4.1400000000000148</v>
      </c>
      <c r="M52" s="1"/>
      <c r="N52" s="5">
        <f t="shared" si="31"/>
        <v>1.6856677524430028E-2</v>
      </c>
      <c r="O52" s="14"/>
      <c r="P52" s="1">
        <f>SUM(OSRRefP22_8x_0)</f>
        <v>2218.39</v>
      </c>
      <c r="Q52" s="1"/>
      <c r="R52" s="5">
        <f t="shared" si="32"/>
        <v>6.9947539077680205E-4</v>
      </c>
      <c r="S52" s="1"/>
      <c r="T52" s="1">
        <f>SUM(OSRRefT22_8x_0)</f>
        <v>1766.46</v>
      </c>
      <c r="U52" s="1"/>
      <c r="V52" s="5">
        <f t="shared" si="33"/>
        <v>2.713001595477649E-3</v>
      </c>
      <c r="W52" s="1"/>
      <c r="X52" s="1">
        <f t="shared" si="34"/>
        <v>451.92999999999984</v>
      </c>
      <c r="Y52" s="1"/>
      <c r="Z52" s="5">
        <f t="shared" si="35"/>
        <v>0.25583936234050009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7">
        <v>249.74</v>
      </c>
      <c r="E53" s="2"/>
      <c r="F53" s="6">
        <f t="shared" si="28"/>
        <v>8.0336340793873214E-4</v>
      </c>
      <c r="G53" s="2"/>
      <c r="H53" s="7">
        <v>245.6</v>
      </c>
      <c r="I53" s="2"/>
      <c r="J53" s="6">
        <f t="shared" si="29"/>
        <v>6.3939434568168006E-3</v>
      </c>
      <c r="K53" s="2"/>
      <c r="L53" s="7">
        <f t="shared" si="30"/>
        <v>4.1400000000000148</v>
      </c>
      <c r="M53" s="2"/>
      <c r="N53" s="6">
        <f t="shared" si="31"/>
        <v>1.6856677524430028E-2</v>
      </c>
      <c r="O53" s="11"/>
      <c r="P53" s="7">
        <v>2218.39</v>
      </c>
      <c r="Q53" s="2"/>
      <c r="R53" s="6">
        <f t="shared" si="32"/>
        <v>6.9947539077680205E-4</v>
      </c>
      <c r="S53" s="2"/>
      <c r="T53" s="7">
        <v>1766.46</v>
      </c>
      <c r="U53" s="2"/>
      <c r="V53" s="6">
        <f t="shared" si="33"/>
        <v>2.713001595477649E-3</v>
      </c>
      <c r="W53" s="2"/>
      <c r="X53" s="7">
        <f t="shared" si="34"/>
        <v>451.92999999999984</v>
      </c>
      <c r="Y53" s="2"/>
      <c r="Z53" s="6">
        <f t="shared" si="35"/>
        <v>0.25583936234050009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368.25</v>
      </c>
      <c r="E54" s="1"/>
      <c r="F54" s="5">
        <f t="shared" si="28"/>
        <v>1.1845862696141512E-3</v>
      </c>
      <c r="G54" s="1"/>
      <c r="H54" s="1">
        <f>SUM(OSRRefH22_9x_0)</f>
        <v>0</v>
      </c>
      <c r="I54" s="1"/>
      <c r="J54" s="5">
        <f t="shared" si="29"/>
        <v>0</v>
      </c>
      <c r="K54" s="1"/>
      <c r="L54" s="1">
        <f t="shared" si="30"/>
        <v>368.25</v>
      </c>
      <c r="M54" s="1"/>
      <c r="N54" s="5">
        <f t="shared" si="31"/>
        <v>0</v>
      </c>
      <c r="O54" s="14"/>
      <c r="P54" s="1">
        <f>SUM(OSRRefP22_9x_0)</f>
        <v>1926.18</v>
      </c>
      <c r="Q54" s="1"/>
      <c r="R54" s="5">
        <f t="shared" si="32"/>
        <v>6.0733933537676459E-4</v>
      </c>
      <c r="S54" s="1"/>
      <c r="T54" s="1">
        <f>SUM(OSRRefT22_9x_0)</f>
        <v>1888.78</v>
      </c>
      <c r="U54" s="1"/>
      <c r="V54" s="5">
        <f t="shared" si="33"/>
        <v>2.9008656598543264E-3</v>
      </c>
      <c r="W54" s="1"/>
      <c r="X54" s="1">
        <f t="shared" si="34"/>
        <v>37.400000000000091</v>
      </c>
      <c r="Y54" s="1"/>
      <c r="Z54" s="5">
        <f t="shared" si="35"/>
        <v>1.9801141477567581E-2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7">
        <v>368.25</v>
      </c>
      <c r="E55" s="2"/>
      <c r="F55" s="6">
        <f t="shared" si="28"/>
        <v>1.1845862696141512E-3</v>
      </c>
      <c r="G55" s="2"/>
      <c r="H55" s="7"/>
      <c r="I55" s="2"/>
      <c r="J55" s="6">
        <f t="shared" si="29"/>
        <v>0</v>
      </c>
      <c r="K55" s="2"/>
      <c r="L55" s="7">
        <f t="shared" si="30"/>
        <v>368.25</v>
      </c>
      <c r="M55" s="2"/>
      <c r="N55" s="6">
        <f t="shared" si="31"/>
        <v>0</v>
      </c>
      <c r="O55" s="11"/>
      <c r="P55" s="7">
        <v>1926.18</v>
      </c>
      <c r="Q55" s="2"/>
      <c r="R55" s="6">
        <f t="shared" si="32"/>
        <v>6.0733933537676459E-4</v>
      </c>
      <c r="S55" s="2"/>
      <c r="T55" s="7">
        <v>1888.78</v>
      </c>
      <c r="U55" s="2"/>
      <c r="V55" s="6">
        <f t="shared" si="33"/>
        <v>2.9008656598543264E-3</v>
      </c>
      <c r="W55" s="2"/>
      <c r="X55" s="7">
        <f t="shared" si="34"/>
        <v>37.400000000000091</v>
      </c>
      <c r="Y55" s="2"/>
      <c r="Z55" s="6">
        <f t="shared" si="35"/>
        <v>1.9801141477567581E-2</v>
      </c>
    </row>
    <row r="56" spans="1:26" s="29" customFormat="1" outlineLevel="1" collapsed="1" x14ac:dyDescent="0.3">
      <c r="A56" s="28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SUM(OSRRefD22_10x_0)</f>
        <v>24669.37</v>
      </c>
      <c r="E56" s="1"/>
      <c r="F56" s="5">
        <f t="shared" si="28"/>
        <v>7.9356407283180594E-2</v>
      </c>
      <c r="G56" s="1"/>
      <c r="H56" s="1">
        <f>SUM(OSRRefH22_10x_0)</f>
        <v>-29090.31</v>
      </c>
      <c r="I56" s="1"/>
      <c r="J56" s="5">
        <f t="shared" si="29"/>
        <v>-0.75733630814850306</v>
      </c>
      <c r="K56" s="1"/>
      <c r="L56" s="1">
        <f t="shared" si="30"/>
        <v>53759.68</v>
      </c>
      <c r="M56" s="1"/>
      <c r="N56" s="5">
        <f t="shared" si="31"/>
        <v>-1.8480270578072215</v>
      </c>
      <c r="O56" s="14"/>
      <c r="P56" s="1">
        <f>SUM(OSRRefP22_10x_0)</f>
        <v>248931</v>
      </c>
      <c r="Q56" s="1"/>
      <c r="R56" s="5">
        <f t="shared" si="32"/>
        <v>7.8489854579880058E-2</v>
      </c>
      <c r="S56" s="1"/>
      <c r="T56" s="1">
        <f>SUM(OSRRefT22_10x_0)</f>
        <v>44014.01</v>
      </c>
      <c r="U56" s="1"/>
      <c r="V56" s="5">
        <f t="shared" si="33"/>
        <v>6.759851870598213E-2</v>
      </c>
      <c r="W56" s="1"/>
      <c r="X56" s="1">
        <f t="shared" si="34"/>
        <v>204916.99</v>
      </c>
      <c r="Y56" s="1"/>
      <c r="Z56" s="5">
        <f t="shared" si="35"/>
        <v>4.6557218940060219</v>
      </c>
    </row>
    <row r="57" spans="1:26" s="24" customFormat="1" hidden="1" outlineLevel="2" x14ac:dyDescent="0.3">
      <c r="A57" s="27"/>
      <c r="B57" s="11" t="str">
        <f>CONCATENATE("          ", "6387", " - ", "COMMISSION DUE HOUSING")</f>
        <v xml:space="preserve">          6387 - COMMISSION DUE HOUSING</v>
      </c>
      <c r="C57" s="11"/>
      <c r="D57" s="7">
        <v>24669.37</v>
      </c>
      <c r="E57" s="2"/>
      <c r="F57" s="6">
        <f t="shared" si="28"/>
        <v>7.9356407283180594E-2</v>
      </c>
      <c r="G57" s="2"/>
      <c r="H57" s="7">
        <v>-29090.31</v>
      </c>
      <c r="I57" s="2"/>
      <c r="J57" s="6">
        <f t="shared" si="29"/>
        <v>-0.75733630814850306</v>
      </c>
      <c r="K57" s="2"/>
      <c r="L57" s="7">
        <f t="shared" si="30"/>
        <v>53759.68</v>
      </c>
      <c r="M57" s="2"/>
      <c r="N57" s="6">
        <f t="shared" si="31"/>
        <v>-1.8480270578072215</v>
      </c>
      <c r="O57" s="11"/>
      <c r="P57" s="7">
        <v>248931</v>
      </c>
      <c r="Q57" s="2"/>
      <c r="R57" s="6">
        <f t="shared" si="32"/>
        <v>7.8489854579880058E-2</v>
      </c>
      <c r="S57" s="2"/>
      <c r="T57" s="7">
        <v>44014.01</v>
      </c>
      <c r="U57" s="2"/>
      <c r="V57" s="6">
        <f t="shared" si="33"/>
        <v>6.759851870598213E-2</v>
      </c>
      <c r="W57" s="2"/>
      <c r="X57" s="7">
        <f t="shared" si="34"/>
        <v>204916.99</v>
      </c>
      <c r="Y57" s="2"/>
      <c r="Z57" s="6">
        <f t="shared" si="35"/>
        <v>4.6557218940060219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5.35</v>
      </c>
      <c r="E58" s="1"/>
      <c r="F58" s="5">
        <f t="shared" si="28"/>
        <v>1.7209875200096969E-5</v>
      </c>
      <c r="G58" s="1"/>
      <c r="H58" s="1">
        <f>SUM(OSRRefH22_11x_0)</f>
        <v>5.94</v>
      </c>
      <c r="I58" s="1"/>
      <c r="J58" s="5">
        <f t="shared" si="29"/>
        <v>1.5464179207447801E-4</v>
      </c>
      <c r="K58" s="1"/>
      <c r="L58" s="1">
        <f t="shared" si="30"/>
        <v>-0.59000000000000075</v>
      </c>
      <c r="M58" s="1"/>
      <c r="N58" s="5">
        <f t="shared" si="31"/>
        <v>-9.9326599326599443E-2</v>
      </c>
      <c r="O58" s="14"/>
      <c r="P58" s="1">
        <f>SUM(OSRRefP22_11x_0)</f>
        <v>2118.31</v>
      </c>
      <c r="Q58" s="1"/>
      <c r="R58" s="5">
        <f t="shared" si="32"/>
        <v>6.6791939876956153E-4</v>
      </c>
      <c r="S58" s="1"/>
      <c r="T58" s="1">
        <f>SUM(OSRRefT22_11x_0)</f>
        <v>3266.21</v>
      </c>
      <c r="U58" s="1"/>
      <c r="V58" s="5">
        <f t="shared" si="33"/>
        <v>5.0163790525486291E-3</v>
      </c>
      <c r="W58" s="1"/>
      <c r="X58" s="1">
        <f t="shared" si="34"/>
        <v>-1147.9000000000001</v>
      </c>
      <c r="Y58" s="1"/>
      <c r="Z58" s="5">
        <f t="shared" si="35"/>
        <v>-0.35144709005238489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5.35</v>
      </c>
      <c r="E59" s="2"/>
      <c r="F59" s="6">
        <f t="shared" si="28"/>
        <v>1.7209875200096969E-5</v>
      </c>
      <c r="G59" s="2"/>
      <c r="H59" s="7">
        <v>5.94</v>
      </c>
      <c r="I59" s="2"/>
      <c r="J59" s="6">
        <f t="shared" si="29"/>
        <v>1.5464179207447801E-4</v>
      </c>
      <c r="K59" s="2"/>
      <c r="L59" s="7">
        <f t="shared" si="30"/>
        <v>-0.59000000000000075</v>
      </c>
      <c r="M59" s="2"/>
      <c r="N59" s="6">
        <f t="shared" si="31"/>
        <v>-9.9326599326599443E-2</v>
      </c>
      <c r="O59" s="11"/>
      <c r="P59" s="7">
        <v>273.77999999999997</v>
      </c>
      <c r="Q59" s="2"/>
      <c r="R59" s="6">
        <f t="shared" si="32"/>
        <v>8.6324934969447603E-5</v>
      </c>
      <c r="S59" s="2"/>
      <c r="T59" s="7">
        <v>1589.39</v>
      </c>
      <c r="U59" s="2"/>
      <c r="V59" s="6">
        <f t="shared" si="33"/>
        <v>2.4410502393692585E-3</v>
      </c>
      <c r="W59" s="2"/>
      <c r="X59" s="7">
        <f t="shared" si="34"/>
        <v>-1315.6100000000001</v>
      </c>
      <c r="Y59" s="2"/>
      <c r="Z59" s="6">
        <f t="shared" si="35"/>
        <v>-0.82774523559352964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1844.53</v>
      </c>
      <c r="Q60" s="2"/>
      <c r="R60" s="6">
        <f t="shared" si="32"/>
        <v>5.8159446380011393E-4</v>
      </c>
      <c r="S60" s="2"/>
      <c r="T60" s="7">
        <v>1676.82</v>
      </c>
      <c r="U60" s="2"/>
      <c r="V60" s="6">
        <f t="shared" si="33"/>
        <v>2.5753288131793706E-3</v>
      </c>
      <c r="W60" s="2"/>
      <c r="X60" s="7">
        <f t="shared" si="34"/>
        <v>167.71000000000004</v>
      </c>
      <c r="Y60" s="2"/>
      <c r="Z60" s="6">
        <f t="shared" si="35"/>
        <v>0.10001669827411412</v>
      </c>
    </row>
    <row r="61" spans="1:26" s="29" customFormat="1" outlineLevel="1" collapsed="1" x14ac:dyDescent="0.3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6565.7300000000005</v>
      </c>
      <c r="E61" s="1"/>
      <c r="F61" s="5">
        <f t="shared" ref="F61:F65" si="36">IF(D$12=0,0,D61/D$12)</f>
        <v>2.1120634373370594E-2</v>
      </c>
      <c r="G61" s="1"/>
      <c r="H61" s="1">
        <f>SUM(OSRRefH22_12x_0)</f>
        <v>5443.74</v>
      </c>
      <c r="I61" s="1"/>
      <c r="J61" s="5">
        <f t="shared" ref="J61:J65" si="37">IF(H$12=0,0,H61/H$12)</f>
        <v>0.14172217326389205</v>
      </c>
      <c r="K61" s="1"/>
      <c r="L61" s="1">
        <f t="shared" ref="L61:L65" si="38">+D61-H61</f>
        <v>1121.9900000000007</v>
      </c>
      <c r="M61" s="1"/>
      <c r="N61" s="5">
        <f t="shared" ref="N61:N65" si="39">IF(H61=0,0,L61/H61)</f>
        <v>0.20610646357100096</v>
      </c>
      <c r="O61" s="14"/>
      <c r="P61" s="1">
        <f>SUM(OSRRefP22_12x_0)</f>
        <v>45749.98</v>
      </c>
      <c r="Q61" s="1"/>
      <c r="R61" s="5">
        <f t="shared" ref="R61:R65" si="40">IF(P$12=0,0,P61/P$12)</f>
        <v>1.4425319776293116E-2</v>
      </c>
      <c r="S61" s="1"/>
      <c r="T61" s="1">
        <f>SUM(OSRRefT22_12x_0)</f>
        <v>32711.82</v>
      </c>
      <c r="U61" s="1"/>
      <c r="V61" s="5">
        <f t="shared" ref="V61:V65" si="41">IF(T$12=0,0,T61/T$12)</f>
        <v>5.0240152537265298E-2</v>
      </c>
      <c r="W61" s="1"/>
      <c r="X61" s="1">
        <f t="shared" ref="X61:X65" si="42">+P61-T61</f>
        <v>13038.160000000003</v>
      </c>
      <c r="Y61" s="1"/>
      <c r="Z61" s="5">
        <f t="shared" ref="Z61:Z65" si="43">IF(T61=0,0,X61/T61)</f>
        <v>0.39857641672031713</v>
      </c>
    </row>
    <row r="62" spans="1:26" s="24" customFormat="1" hidden="1" outlineLevel="2" x14ac:dyDescent="0.3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459.25</v>
      </c>
      <c r="E62" s="2"/>
      <c r="F62" s="6">
        <f t="shared" si="36"/>
        <v>1.4773149879709407E-3</v>
      </c>
      <c r="G62" s="2"/>
      <c r="H62" s="7">
        <v>421.34</v>
      </c>
      <c r="I62" s="2"/>
      <c r="J62" s="6">
        <f t="shared" si="37"/>
        <v>1.0969153648596052E-2</v>
      </c>
      <c r="K62" s="2"/>
      <c r="L62" s="7">
        <f t="shared" si="38"/>
        <v>37.910000000000025</v>
      </c>
      <c r="M62" s="2"/>
      <c r="N62" s="6">
        <f t="shared" si="39"/>
        <v>8.9974842170218894E-2</v>
      </c>
      <c r="O62" s="11"/>
      <c r="P62" s="7">
        <v>4118.3</v>
      </c>
      <c r="Q62" s="2"/>
      <c r="R62" s="6">
        <f t="shared" si="40"/>
        <v>1.29853159355934E-3</v>
      </c>
      <c r="S62" s="2"/>
      <c r="T62" s="7">
        <v>2396.08</v>
      </c>
      <c r="U62" s="2"/>
      <c r="V62" s="6">
        <f t="shared" si="41"/>
        <v>3.6799977711876207E-3</v>
      </c>
      <c r="W62" s="2"/>
      <c r="X62" s="7">
        <f t="shared" si="42"/>
        <v>1722.2200000000003</v>
      </c>
      <c r="Y62" s="2"/>
      <c r="Z62" s="6">
        <f t="shared" si="43"/>
        <v>0.71876565056258568</v>
      </c>
    </row>
    <row r="63" spans="1:26" s="24" customFormat="1" hidden="1" outlineLevel="2" x14ac:dyDescent="0.3">
      <c r="A63" s="27"/>
      <c r="B63" s="11" t="str">
        <f>CONCATENATE("          ", "6284", " - ", "TRASH REMOVAL EXPENSE")</f>
        <v xml:space="preserve">          6284 - TRASH REMOVAL EXPENSE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282.75</v>
      </c>
      <c r="U63" s="2"/>
      <c r="V63" s="6">
        <f t="shared" si="41"/>
        <v>4.3425902716240686E-4</v>
      </c>
      <c r="W63" s="2"/>
      <c r="X63" s="7">
        <f t="shared" si="42"/>
        <v>-282.75</v>
      </c>
      <c r="Y63" s="2"/>
      <c r="Z63" s="6">
        <f t="shared" si="43"/>
        <v>-1</v>
      </c>
    </row>
    <row r="64" spans="1:26" s="24" customFormat="1" hidden="1" outlineLevel="2" x14ac:dyDescent="0.3">
      <c r="A64" s="27"/>
      <c r="B64" s="11" t="str">
        <f>CONCATENATE("          ", "6285", " - ", "JANITORIAL SERVICES")</f>
        <v xml:space="preserve">          6285 - JANITORIAL SERVICES</v>
      </c>
      <c r="C64" s="11"/>
      <c r="D64" s="7">
        <v>5236.5200000000004</v>
      </c>
      <c r="E64" s="2"/>
      <c r="F64" s="6">
        <f t="shared" si="36"/>
        <v>1.6844832837908746E-2</v>
      </c>
      <c r="G64" s="2"/>
      <c r="H64" s="7">
        <v>4468.33</v>
      </c>
      <c r="I64" s="2"/>
      <c r="J64" s="6">
        <f t="shared" si="37"/>
        <v>0.11632837689901553</v>
      </c>
      <c r="K64" s="2"/>
      <c r="L64" s="7">
        <f t="shared" si="38"/>
        <v>768.19000000000051</v>
      </c>
      <c r="M64" s="2"/>
      <c r="N64" s="6">
        <f t="shared" si="39"/>
        <v>0.17191881530683734</v>
      </c>
      <c r="O64" s="11"/>
      <c r="P64" s="7">
        <v>34380.06</v>
      </c>
      <c r="Q64" s="2"/>
      <c r="R64" s="6">
        <f t="shared" si="40"/>
        <v>1.0840296748285875E-2</v>
      </c>
      <c r="S64" s="2"/>
      <c r="T64" s="7">
        <v>24670.959999999999</v>
      </c>
      <c r="U64" s="2"/>
      <c r="V64" s="6">
        <f t="shared" si="41"/>
        <v>3.7890670517286132E-2</v>
      </c>
      <c r="W64" s="2"/>
      <c r="X64" s="7">
        <f t="shared" si="42"/>
        <v>9709.0999999999985</v>
      </c>
      <c r="Y64" s="2"/>
      <c r="Z64" s="6">
        <f t="shared" si="43"/>
        <v>0.39354366429194482</v>
      </c>
    </row>
    <row r="65" spans="1:26" s="24" customFormat="1" hidden="1" outlineLevel="2" x14ac:dyDescent="0.3">
      <c r="A65" s="27"/>
      <c r="B65" s="11" t="str">
        <f>CONCATENATE("          ", "6286", " - ", "LAUNDRY EXPENSE")</f>
        <v xml:space="preserve">          6286 - LAUNDRY EXPENSE</v>
      </c>
      <c r="C65" s="11"/>
      <c r="D65" s="7">
        <v>869.96</v>
      </c>
      <c r="E65" s="2"/>
      <c r="F65" s="6">
        <f t="shared" si="36"/>
        <v>2.7984865474909083E-3</v>
      </c>
      <c r="G65" s="2"/>
      <c r="H65" s="7">
        <v>554.07000000000005</v>
      </c>
      <c r="I65" s="2"/>
      <c r="J65" s="6">
        <f t="shared" si="37"/>
        <v>1.4424642716280476E-2</v>
      </c>
      <c r="K65" s="2"/>
      <c r="L65" s="7">
        <f t="shared" si="38"/>
        <v>315.89</v>
      </c>
      <c r="M65" s="2"/>
      <c r="N65" s="6">
        <f t="shared" si="39"/>
        <v>0.57012651830996075</v>
      </c>
      <c r="O65" s="11"/>
      <c r="P65" s="7">
        <v>7251.62</v>
      </c>
      <c r="Q65" s="2"/>
      <c r="R65" s="6">
        <f t="shared" si="40"/>
        <v>2.2864914344478985E-3</v>
      </c>
      <c r="S65" s="2"/>
      <c r="T65" s="7">
        <v>5362.03</v>
      </c>
      <c r="U65" s="2"/>
      <c r="V65" s="6">
        <f t="shared" si="41"/>
        <v>8.2352252216291444E-3</v>
      </c>
      <c r="W65" s="2"/>
      <c r="X65" s="7">
        <f t="shared" si="42"/>
        <v>1889.5900000000001</v>
      </c>
      <c r="Y65" s="2"/>
      <c r="Z65" s="6">
        <f t="shared" si="43"/>
        <v>0.35240198208514317</v>
      </c>
    </row>
    <row r="66" spans="1:26" s="29" customFormat="1" outlineLevel="1" collapsed="1" x14ac:dyDescent="0.3">
      <c r="A66" s="28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SUM(OSRRefD22_13x_0)</f>
        <v>0</v>
      </c>
      <c r="E66" s="1"/>
      <c r="F66" s="5">
        <f t="shared" ref="F66:F76" si="44">IF(D$12=0,0,D66/D$12)</f>
        <v>0</v>
      </c>
      <c r="G66" s="1"/>
      <c r="H66" s="1">
        <f>SUM(OSRRefH22_13x_0)</f>
        <v>0</v>
      </c>
      <c r="I66" s="1"/>
      <c r="J66" s="5">
        <f t="shared" ref="J66:J76" si="45">IF(H$12=0,0,H66/H$12)</f>
        <v>0</v>
      </c>
      <c r="K66" s="1"/>
      <c r="L66" s="1">
        <f t="shared" ref="L66:L76" si="46">+D66-H66</f>
        <v>0</v>
      </c>
      <c r="M66" s="1"/>
      <c r="N66" s="5">
        <f t="shared" ref="N66:N76" si="47">IF(H66=0,0,L66/H66)</f>
        <v>0</v>
      </c>
      <c r="O66" s="14"/>
      <c r="P66" s="1">
        <f>SUM(OSRRefP22_13x_0)</f>
        <v>0</v>
      </c>
      <c r="Q66" s="1"/>
      <c r="R66" s="5">
        <f t="shared" ref="R66:R76" si="48">IF(P$12=0,0,P66/P$12)</f>
        <v>0</v>
      </c>
      <c r="S66" s="1"/>
      <c r="T66" s="1">
        <f>SUM(OSRRefT22_13x_0)</f>
        <v>795</v>
      </c>
      <c r="U66" s="1"/>
      <c r="V66" s="5">
        <f t="shared" ref="V66:V76" si="49">IF(T$12=0,0,T66/T$12)</f>
        <v>1.2209935511728151E-3</v>
      </c>
      <c r="W66" s="1"/>
      <c r="X66" s="1">
        <f t="shared" ref="X66:X76" si="50">+P66-T66</f>
        <v>-795</v>
      </c>
      <c r="Y66" s="1"/>
      <c r="Z66" s="5">
        <f t="shared" ref="Z66:Z76" si="51">IF(T66=0,0,X66/T66)</f>
        <v>-1</v>
      </c>
    </row>
    <row r="67" spans="1:26" s="24" customFormat="1" hidden="1" outlineLevel="2" x14ac:dyDescent="0.3">
      <c r="A67" s="27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795</v>
      </c>
      <c r="U67" s="2"/>
      <c r="V67" s="6">
        <f t="shared" si="49"/>
        <v>1.2209935511728151E-3</v>
      </c>
      <c r="W67" s="2"/>
      <c r="X67" s="7">
        <f t="shared" si="50"/>
        <v>-795</v>
      </c>
      <c r="Y67" s="2"/>
      <c r="Z67" s="6">
        <f t="shared" si="51"/>
        <v>-1</v>
      </c>
    </row>
    <row r="68" spans="1:26" s="29" customFormat="1" outlineLevel="1" collapsed="1" x14ac:dyDescent="0.3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SUM(OSRRefD22_14x_0)</f>
        <v>3281.2799999999997</v>
      </c>
      <c r="E68" s="1"/>
      <c r="F68" s="5">
        <f t="shared" si="44"/>
        <v>1.0555218560107323E-2</v>
      </c>
      <c r="G68" s="1"/>
      <c r="H68" s="1">
        <f>SUM(OSRRefH22_14x_0)</f>
        <v>9954.59</v>
      </c>
      <c r="I68" s="1"/>
      <c r="J68" s="5">
        <f t="shared" si="45"/>
        <v>0.25915751464085485</v>
      </c>
      <c r="K68" s="1"/>
      <c r="L68" s="1">
        <f t="shared" si="46"/>
        <v>-6673.31</v>
      </c>
      <c r="M68" s="1"/>
      <c r="N68" s="5">
        <f t="shared" si="47"/>
        <v>-0.67037517366360644</v>
      </c>
      <c r="O68" s="14"/>
      <c r="P68" s="1">
        <f>SUM(OSRRefP22_14x_0)</f>
        <v>106031.63</v>
      </c>
      <c r="Q68" s="1"/>
      <c r="R68" s="5">
        <f t="shared" si="48"/>
        <v>3.3432586618651949E-2</v>
      </c>
      <c r="S68" s="1"/>
      <c r="T68" s="1">
        <f>SUM(OSRRefT22_14x_0)</f>
        <v>85377.329999999987</v>
      </c>
      <c r="U68" s="1"/>
      <c r="V68" s="5">
        <f t="shared" si="49"/>
        <v>0.1311259991778029</v>
      </c>
      <c r="W68" s="1"/>
      <c r="X68" s="1">
        <f t="shared" si="50"/>
        <v>20654.300000000017</v>
      </c>
      <c r="Y68" s="1"/>
      <c r="Z68" s="5">
        <f t="shared" si="51"/>
        <v>0.24191784868418842</v>
      </c>
    </row>
    <row r="69" spans="1:26" s="24" customFormat="1" hidden="1" outlineLevel="2" x14ac:dyDescent="0.3">
      <c r="A69" s="27"/>
      <c r="B69" s="11" t="str">
        <f>CONCATENATE("          ", "6234", " - ", "EXPENDABLE SUPPLIES &amp; EQUIPMEN")</f>
        <v xml:space="preserve">          6234 - EXPENDABLE SUPPLIES &amp; EQUIPMEN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315</v>
      </c>
      <c r="Q69" s="2"/>
      <c r="R69" s="6">
        <f t="shared" si="48"/>
        <v>9.932191728897654E-5</v>
      </c>
      <c r="S69" s="2"/>
      <c r="T69" s="7"/>
      <c r="U69" s="2"/>
      <c r="V69" s="6">
        <f t="shared" si="49"/>
        <v>0</v>
      </c>
      <c r="W69" s="2"/>
      <c r="X69" s="7">
        <f t="shared" si="50"/>
        <v>315</v>
      </c>
      <c r="Y69" s="2"/>
      <c r="Z69" s="6">
        <f t="shared" si="51"/>
        <v>0</v>
      </c>
    </row>
    <row r="70" spans="1:26" s="24" customFormat="1" hidden="1" outlineLevel="2" x14ac:dyDescent="0.3">
      <c r="A70" s="27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44"/>
        <v>0</v>
      </c>
      <c r="G70" s="2"/>
      <c r="H70" s="7">
        <v>2921.2</v>
      </c>
      <c r="I70" s="2"/>
      <c r="J70" s="6">
        <f t="shared" si="45"/>
        <v>7.6050438216829136E-2</v>
      </c>
      <c r="K70" s="2"/>
      <c r="L70" s="7">
        <f t="shared" si="46"/>
        <v>-2921.2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44334.07</v>
      </c>
      <c r="U70" s="2"/>
      <c r="V70" s="6">
        <f t="shared" si="49"/>
        <v>6.8090079958797692E-2</v>
      </c>
      <c r="W70" s="2"/>
      <c r="X70" s="7">
        <f t="shared" si="50"/>
        <v>-44334.07</v>
      </c>
      <c r="Y70" s="2"/>
      <c r="Z70" s="6">
        <f t="shared" si="51"/>
        <v>-1</v>
      </c>
    </row>
    <row r="71" spans="1:26" s="24" customFormat="1" hidden="1" outlineLevel="2" x14ac:dyDescent="0.3">
      <c r="A71" s="27"/>
      <c r="B71" s="11" t="str">
        <f>CONCATENATE("          ", "6237", " - ", "JANITORIAL SUPPLIES")</f>
        <v xml:space="preserve">          6237 - JANITORIAL SUPPLIES</v>
      </c>
      <c r="C71" s="11"/>
      <c r="D71" s="7">
        <v>668.33</v>
      </c>
      <c r="E71" s="2"/>
      <c r="F71" s="6">
        <f t="shared" si="44"/>
        <v>2.1498833443889362E-3</v>
      </c>
      <c r="G71" s="2"/>
      <c r="H71" s="7">
        <v>3367.71</v>
      </c>
      <c r="I71" s="2"/>
      <c r="J71" s="6">
        <f t="shared" si="45"/>
        <v>8.7674866933862006E-2</v>
      </c>
      <c r="K71" s="2"/>
      <c r="L71" s="7">
        <f t="shared" si="46"/>
        <v>-2699.38</v>
      </c>
      <c r="M71" s="2"/>
      <c r="N71" s="6">
        <f t="shared" si="47"/>
        <v>-0.8015476391969617</v>
      </c>
      <c r="O71" s="11"/>
      <c r="P71" s="7">
        <v>16117.44</v>
      </c>
      <c r="Q71" s="2"/>
      <c r="R71" s="6">
        <f t="shared" si="48"/>
        <v>5.0819525161588637E-3</v>
      </c>
      <c r="S71" s="2"/>
      <c r="T71" s="7">
        <v>12545.88</v>
      </c>
      <c r="U71" s="2"/>
      <c r="V71" s="6">
        <f t="shared" si="49"/>
        <v>1.9268476193444021E-2</v>
      </c>
      <c r="W71" s="2"/>
      <c r="X71" s="7">
        <f t="shared" si="50"/>
        <v>3571.5600000000013</v>
      </c>
      <c r="Y71" s="2"/>
      <c r="Z71" s="6">
        <f t="shared" si="51"/>
        <v>0.28467991085519723</v>
      </c>
    </row>
    <row r="72" spans="1:26" s="24" customFormat="1" hidden="1" outlineLevel="2" x14ac:dyDescent="0.3">
      <c r="A72" s="27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44"/>
        <v>0</v>
      </c>
      <c r="G72" s="2"/>
      <c r="H72" s="7">
        <v>979.48</v>
      </c>
      <c r="I72" s="2"/>
      <c r="J72" s="6">
        <f t="shared" si="45"/>
        <v>2.5499754629816448E-2</v>
      </c>
      <c r="K72" s="2"/>
      <c r="L72" s="7">
        <f t="shared" si="46"/>
        <v>-979.48</v>
      </c>
      <c r="M72" s="2"/>
      <c r="N72" s="6">
        <f t="shared" si="47"/>
        <v>-1</v>
      </c>
      <c r="O72" s="11"/>
      <c r="P72" s="7">
        <v>9506.25</v>
      </c>
      <c r="Q72" s="2"/>
      <c r="R72" s="6">
        <f t="shared" si="48"/>
        <v>2.9973935753280423E-3</v>
      </c>
      <c r="S72" s="2"/>
      <c r="T72" s="7">
        <v>5762.96</v>
      </c>
      <c r="U72" s="2"/>
      <c r="V72" s="6">
        <f t="shared" si="49"/>
        <v>8.8509899316564604E-3</v>
      </c>
      <c r="W72" s="2"/>
      <c r="X72" s="7">
        <f t="shared" si="50"/>
        <v>3743.29</v>
      </c>
      <c r="Y72" s="2"/>
      <c r="Z72" s="6">
        <f t="shared" si="51"/>
        <v>0.64954294320973938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7">
        <v>9.35</v>
      </c>
      <c r="E73" s="2"/>
      <c r="F73" s="6">
        <f t="shared" si="44"/>
        <v>3.0077071611384422E-5</v>
      </c>
      <c r="G73" s="2"/>
      <c r="H73" s="7">
        <v>979.61</v>
      </c>
      <c r="I73" s="2"/>
      <c r="J73" s="6">
        <f t="shared" si="45"/>
        <v>2.5503139046141311E-2</v>
      </c>
      <c r="K73" s="2"/>
      <c r="L73" s="7">
        <f t="shared" si="46"/>
        <v>-970.26</v>
      </c>
      <c r="M73" s="2"/>
      <c r="N73" s="6">
        <f t="shared" si="47"/>
        <v>-0.99045538530639743</v>
      </c>
      <c r="O73" s="11"/>
      <c r="P73" s="7">
        <v>3581.57</v>
      </c>
      <c r="Q73" s="2"/>
      <c r="R73" s="6">
        <f t="shared" si="48"/>
        <v>1.1292965057291421E-3</v>
      </c>
      <c r="S73" s="2"/>
      <c r="T73" s="7">
        <v>4190.63</v>
      </c>
      <c r="U73" s="2"/>
      <c r="V73" s="6">
        <f t="shared" si="49"/>
        <v>6.4361411388067094E-3</v>
      </c>
      <c r="W73" s="2"/>
      <c r="X73" s="7">
        <f t="shared" si="50"/>
        <v>-609.05999999999995</v>
      </c>
      <c r="Y73" s="2"/>
      <c r="Z73" s="6">
        <f t="shared" si="51"/>
        <v>-0.14533852905171774</v>
      </c>
    </row>
    <row r="74" spans="1:26" s="24" customFormat="1" hidden="1" outlineLevel="2" x14ac:dyDescent="0.3">
      <c r="A74" s="27"/>
      <c r="B74" s="11" t="str">
        <f>CONCATENATE("          ", "6243", " - ", "PAPER SUPPLIES")</f>
        <v xml:space="preserve">          6243 - PAPER SUPPLIES</v>
      </c>
      <c r="C74" s="11"/>
      <c r="D74" s="7">
        <v>2603.6</v>
      </c>
      <c r="E74" s="2"/>
      <c r="F74" s="6">
        <f t="shared" si="44"/>
        <v>8.3752581441070024E-3</v>
      </c>
      <c r="G74" s="2"/>
      <c r="H74" s="7">
        <v>1706.59</v>
      </c>
      <c r="I74" s="2"/>
      <c r="J74" s="6">
        <f t="shared" si="45"/>
        <v>4.4429315814205957E-2</v>
      </c>
      <c r="K74" s="2"/>
      <c r="L74" s="7">
        <f t="shared" si="46"/>
        <v>897.01</v>
      </c>
      <c r="M74" s="2"/>
      <c r="N74" s="6">
        <f t="shared" si="47"/>
        <v>0.52561540850467892</v>
      </c>
      <c r="O74" s="11"/>
      <c r="P74" s="7">
        <v>74256.800000000003</v>
      </c>
      <c r="Q74" s="2"/>
      <c r="R74" s="6">
        <f t="shared" si="48"/>
        <v>2.3413738881727219E-2</v>
      </c>
      <c r="S74" s="2"/>
      <c r="T74" s="7">
        <v>14043.2</v>
      </c>
      <c r="U74" s="2"/>
      <c r="V74" s="6">
        <f t="shared" si="49"/>
        <v>2.1568121557018965E-2</v>
      </c>
      <c r="W74" s="2"/>
      <c r="X74" s="7">
        <f t="shared" si="50"/>
        <v>60213.600000000006</v>
      </c>
      <c r="Y74" s="2"/>
      <c r="Z74" s="6">
        <f t="shared" si="51"/>
        <v>4.2877406858835592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384.16</v>
      </c>
      <c r="Q75" s="2"/>
      <c r="R75" s="6">
        <f t="shared" si="48"/>
        <v>1.2112859601820073E-4</v>
      </c>
      <c r="S75" s="2"/>
      <c r="T75" s="7"/>
      <c r="U75" s="2"/>
      <c r="V75" s="6">
        <f t="shared" si="49"/>
        <v>0</v>
      </c>
      <c r="W75" s="2"/>
      <c r="X75" s="7">
        <f t="shared" si="50"/>
        <v>384.16</v>
      </c>
      <c r="Y75" s="2"/>
      <c r="Z75" s="6">
        <f t="shared" si="51"/>
        <v>0</v>
      </c>
    </row>
    <row r="76" spans="1:26" s="24" customFormat="1" hidden="1" outlineLevel="2" x14ac:dyDescent="0.3">
      <c r="A76" s="27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1870.41</v>
      </c>
      <c r="Q76" s="2"/>
      <c r="R76" s="6">
        <f t="shared" si="48"/>
        <v>5.8975462640150679E-4</v>
      </c>
      <c r="S76" s="2"/>
      <c r="T76" s="7">
        <v>4500.59</v>
      </c>
      <c r="U76" s="2"/>
      <c r="V76" s="6">
        <f t="shared" si="49"/>
        <v>6.9121903980790692E-3</v>
      </c>
      <c r="W76" s="2"/>
      <c r="X76" s="7">
        <f t="shared" si="50"/>
        <v>-2630.1800000000003</v>
      </c>
      <c r="Y76" s="2"/>
      <c r="Z76" s="6">
        <f t="shared" si="51"/>
        <v>-0.58440782208554887</v>
      </c>
    </row>
    <row r="77" spans="1:26" s="29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309</v>
      </c>
      <c r="E77" s="1"/>
      <c r="F77" s="5">
        <f t="shared" ref="F77:F80" si="52">IF(D$12=0,0,D77/D$12)</f>
        <v>9.9399092277195579E-4</v>
      </c>
      <c r="G77" s="1"/>
      <c r="H77" s="1">
        <f>SUM(OSRRefH22_15x_0)</f>
        <v>159</v>
      </c>
      <c r="I77" s="1"/>
      <c r="J77" s="5">
        <f t="shared" ref="J77:J80" si="53">IF(H$12=0,0,H77/H$12)</f>
        <v>4.1394015050239055E-3</v>
      </c>
      <c r="K77" s="1"/>
      <c r="L77" s="1">
        <f t="shared" ref="L77:L80" si="54">+D77-H77</f>
        <v>150</v>
      </c>
      <c r="M77" s="1"/>
      <c r="N77" s="5">
        <f t="shared" ref="N77:N80" si="55">IF(H77=0,0,L77/H77)</f>
        <v>0.94339622641509435</v>
      </c>
      <c r="O77" s="14"/>
      <c r="P77" s="1">
        <f>SUM(OSRRefP22_15x_0)</f>
        <v>2071</v>
      </c>
      <c r="Q77" s="1"/>
      <c r="R77" s="5">
        <f t="shared" ref="R77:R80" si="56">IF(P$12=0,0,P77/P$12)</f>
        <v>6.5300219271577906E-4</v>
      </c>
      <c r="S77" s="1"/>
      <c r="T77" s="1">
        <f>SUM(OSRRefT22_15x_0)</f>
        <v>1864</v>
      </c>
      <c r="U77" s="1"/>
      <c r="V77" s="5">
        <f t="shared" ref="V77:V80" si="57">IF(T$12=0,0,T77/T$12)</f>
        <v>2.8628075212404117E-3</v>
      </c>
      <c r="W77" s="1"/>
      <c r="X77" s="1">
        <f t="shared" ref="X77:X80" si="58">+P77-T77</f>
        <v>207</v>
      </c>
      <c r="Y77" s="1"/>
      <c r="Z77" s="5">
        <f t="shared" ref="Z77:Z80" si="59">IF(T77=0,0,X77/T77)</f>
        <v>0.11105150214592274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7">
        <v>309</v>
      </c>
      <c r="E78" s="2"/>
      <c r="F78" s="6">
        <f t="shared" si="52"/>
        <v>9.9399092277195579E-4</v>
      </c>
      <c r="G78" s="2"/>
      <c r="H78" s="7">
        <v>159</v>
      </c>
      <c r="I78" s="2"/>
      <c r="J78" s="6">
        <f t="shared" si="53"/>
        <v>4.1394015050239055E-3</v>
      </c>
      <c r="K78" s="2"/>
      <c r="L78" s="7">
        <f t="shared" si="54"/>
        <v>150</v>
      </c>
      <c r="M78" s="2"/>
      <c r="N78" s="6">
        <f t="shared" si="55"/>
        <v>0.94339622641509435</v>
      </c>
      <c r="O78" s="11"/>
      <c r="P78" s="7">
        <v>2071</v>
      </c>
      <c r="Q78" s="2"/>
      <c r="R78" s="6">
        <f t="shared" si="56"/>
        <v>6.5300219271577906E-4</v>
      </c>
      <c r="S78" s="2"/>
      <c r="T78" s="7">
        <v>1864</v>
      </c>
      <c r="U78" s="2"/>
      <c r="V78" s="6">
        <f t="shared" si="57"/>
        <v>2.8628075212404117E-3</v>
      </c>
      <c r="W78" s="2"/>
      <c r="X78" s="7">
        <f t="shared" si="58"/>
        <v>207</v>
      </c>
      <c r="Y78" s="2"/>
      <c r="Z78" s="6">
        <f t="shared" si="59"/>
        <v>0.11105150214592274</v>
      </c>
    </row>
    <row r="79" spans="1:26" s="29" customFormat="1" outlineLevel="1" collapsed="1" x14ac:dyDescent="0.3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4"/>
      <c r="P79" s="1">
        <f>SUM(OSRRefP22_16x_0)</f>
        <v>245</v>
      </c>
      <c r="Q79" s="1"/>
      <c r="R79" s="5">
        <f t="shared" si="56"/>
        <v>7.7250380113648423E-5</v>
      </c>
      <c r="S79" s="1"/>
      <c r="T79" s="1">
        <f>SUM(OSRRefT22_16x_0)</f>
        <v>735</v>
      </c>
      <c r="U79" s="1"/>
      <c r="V79" s="5">
        <f t="shared" si="57"/>
        <v>1.1288430944805272E-3</v>
      </c>
      <c r="W79" s="1"/>
      <c r="X79" s="1">
        <f t="shared" si="58"/>
        <v>-490</v>
      </c>
      <c r="Y79" s="1"/>
      <c r="Z79" s="5">
        <f t="shared" si="59"/>
        <v>-0.66666666666666663</v>
      </c>
    </row>
    <row r="80" spans="1:26" s="24" customFormat="1" hidden="1" outlineLevel="2" x14ac:dyDescent="0.3">
      <c r="A80" s="27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245</v>
      </c>
      <c r="Q80" s="2"/>
      <c r="R80" s="6">
        <f t="shared" si="56"/>
        <v>7.7250380113648423E-5</v>
      </c>
      <c r="S80" s="2"/>
      <c r="T80" s="7">
        <v>735</v>
      </c>
      <c r="U80" s="2"/>
      <c r="V80" s="6">
        <f t="shared" si="57"/>
        <v>1.1288430944805272E-3</v>
      </c>
      <c r="W80" s="2"/>
      <c r="X80" s="7">
        <f t="shared" si="58"/>
        <v>-490</v>
      </c>
      <c r="Y80" s="2"/>
      <c r="Z80" s="6">
        <f t="shared" si="59"/>
        <v>-0.66666666666666663</v>
      </c>
    </row>
    <row r="81" spans="1:26" s="52" customFormat="1" x14ac:dyDescent="0.3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6" t="s">
        <v>292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5" t="s">
        <v>276</v>
      </c>
      <c r="C84" s="25"/>
      <c r="D84" s="21">
        <f>+D21-D23+D82</f>
        <v>142582.30999999994</v>
      </c>
      <c r="E84" s="13"/>
      <c r="F84" s="22">
        <f>IF(D$12=0,0,D84/D$12)</f>
        <v>0.45865864688626862</v>
      </c>
      <c r="G84" s="13"/>
      <c r="H84" s="21">
        <f>+H21-H23+H82</f>
        <v>-62988.929999999993</v>
      </c>
      <c r="I84" s="13"/>
      <c r="J84" s="22">
        <f>IF(H$12=0,0,H84/H$12)</f>
        <v>-1.6398520229046882</v>
      </c>
      <c r="K84" s="15"/>
      <c r="L84" s="21">
        <f>+D84-H84</f>
        <v>205571.23999999993</v>
      </c>
      <c r="M84" s="15"/>
      <c r="N84" s="22">
        <f>IF(H84=0,0,L84/H84)</f>
        <v>-3.2636090182830531</v>
      </c>
      <c r="O84" s="26"/>
      <c r="P84" s="21">
        <f>+P21-P23+P82</f>
        <v>1156273.73</v>
      </c>
      <c r="Q84" s="13"/>
      <c r="R84" s="22">
        <f>IF(P$12=0,0,P84/P$12)</f>
        <v>0.36458198023643301</v>
      </c>
      <c r="S84" s="13"/>
      <c r="T84" s="21">
        <f>+T21-T23+T82</f>
        <v>-415338.4299999997</v>
      </c>
      <c r="U84" s="13"/>
      <c r="V84" s="22">
        <f>IF(T$12=0,0,T84/T$12)</f>
        <v>-0.63789376677263054</v>
      </c>
      <c r="W84" s="15"/>
      <c r="X84" s="21">
        <f>+P84-T84</f>
        <v>1571612.1599999997</v>
      </c>
      <c r="Y84" s="15"/>
      <c r="Z84" s="22">
        <f>IF(T84=0,0,X84/T84)</f>
        <v>-3.7839314796851347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1"/>
      <c r="B86" s="10" t="s">
        <v>127</v>
      </c>
      <c r="C86" s="10"/>
      <c r="D86" s="4">
        <v>75466.69</v>
      </c>
      <c r="E86" s="4"/>
      <c r="F86" s="12">
        <f>IF(D$12=0,0,D86/D$12)</f>
        <v>0.24276118068493568</v>
      </c>
      <c r="G86" s="4"/>
      <c r="H86" s="4">
        <v>4831.49</v>
      </c>
      <c r="I86" s="4"/>
      <c r="J86" s="12">
        <f>IF(H$12=0,0,H86/H$12)</f>
        <v>0.12578287407237704</v>
      </c>
      <c r="K86" s="4"/>
      <c r="L86" s="4">
        <f>+D86-H86</f>
        <v>70635.199999999997</v>
      </c>
      <c r="M86" s="4"/>
      <c r="N86" s="12">
        <f>IF(H86=0,0,L86/H86)</f>
        <v>14.619754982417433</v>
      </c>
      <c r="O86" s="10"/>
      <c r="P86" s="4">
        <v>419803.88</v>
      </c>
      <c r="Q86" s="4"/>
      <c r="R86" s="12">
        <f>IF(P$12=0,0,P86/P$12)</f>
        <v>0.13236738491095693</v>
      </c>
      <c r="S86" s="4"/>
      <c r="T86" s="4">
        <v>118193.53</v>
      </c>
      <c r="U86" s="4"/>
      <c r="V86" s="12">
        <f>IF(T$12=0,0,T86/T$12)</f>
        <v>0.18152646279289389</v>
      </c>
      <c r="W86" s="4"/>
      <c r="X86" s="4">
        <f>+P86-T86</f>
        <v>301610.34999999998</v>
      </c>
      <c r="Y86" s="4"/>
      <c r="Z86" s="12">
        <f>IF(T86=0,0,X86/T86)</f>
        <v>2.5518346901052875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125</v>
      </c>
      <c r="C88" s="25"/>
      <c r="D88" s="36">
        <f>+D84-D86</f>
        <v>67115.619999999937</v>
      </c>
      <c r="E88" s="13"/>
      <c r="F88" s="31">
        <f>IF(D$12=0,0,D88/D$12)</f>
        <v>0.2158974662013329</v>
      </c>
      <c r="G88" s="13"/>
      <c r="H88" s="36">
        <f>+H84-H86</f>
        <v>-67820.42</v>
      </c>
      <c r="I88" s="13"/>
      <c r="J88" s="31">
        <f>IF(H$12=0,0,H88/H$12)</f>
        <v>-1.7656348969770654</v>
      </c>
      <c r="K88" s="15"/>
      <c r="L88" s="36">
        <f>D88-H88</f>
        <v>134936.03999999992</v>
      </c>
      <c r="M88" s="15"/>
      <c r="N88" s="31">
        <f>IF(H88=0,0,L88/H88)</f>
        <v>-1.9896078496712335</v>
      </c>
      <c r="O88" s="26"/>
      <c r="P88" s="36">
        <f>+P84-P86</f>
        <v>736469.85</v>
      </c>
      <c r="Q88" s="13"/>
      <c r="R88" s="31">
        <f>IF(P$12=0,0,P88/P$12)</f>
        <v>0.23221459532547606</v>
      </c>
      <c r="S88" s="13"/>
      <c r="T88" s="36">
        <f>+T84-T86</f>
        <v>-533531.95999999973</v>
      </c>
      <c r="U88" s="13"/>
      <c r="V88" s="31">
        <f>IF(T$12=0,0,T88/T$12)</f>
        <v>-0.81942022956552452</v>
      </c>
      <c r="W88" s="15"/>
      <c r="X88" s="36">
        <f>P88-T88</f>
        <v>1270001.8099999996</v>
      </c>
      <c r="Y88" s="15"/>
      <c r="Z88" s="31">
        <f>IF(T88=0,0,X88/T88)</f>
        <v>-2.3803668856126263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5" t="s">
        <v>293</v>
      </c>
      <c r="C91" s="25"/>
      <c r="D91" s="35">
        <f>SUM(D88:D90)</f>
        <v>67115.619999999937</v>
      </c>
      <c r="E91" s="13"/>
      <c r="F91" s="32">
        <f>IF(D$12=0,0,D91/D$12)</f>
        <v>0.2158974662013329</v>
      </c>
      <c r="G91" s="13"/>
      <c r="H91" s="35">
        <f>SUM(H88:H90)</f>
        <v>-67820.42</v>
      </c>
      <c r="I91" s="13"/>
      <c r="J91" s="32">
        <f>IF(H$12=0,0,H91/H$12)</f>
        <v>-1.7656348969770654</v>
      </c>
      <c r="K91" s="15"/>
      <c r="L91" s="35">
        <f>+D91-H91</f>
        <v>134936.03999999992</v>
      </c>
      <c r="M91" s="15"/>
      <c r="N91" s="32">
        <f>IF(H91=0,0,L91/H91)</f>
        <v>-1.9896078496712335</v>
      </c>
      <c r="O91" s="26"/>
      <c r="P91" s="35">
        <f>SUM(P88:P90)</f>
        <v>736469.85</v>
      </c>
      <c r="Q91" s="13"/>
      <c r="R91" s="32">
        <f>IF(P$12=0,0,P91/P$12)</f>
        <v>0.23221459532547606</v>
      </c>
      <c r="S91" s="13"/>
      <c r="T91" s="35">
        <f>SUM(T88:T90)</f>
        <v>-533531.95999999973</v>
      </c>
      <c r="U91" s="13"/>
      <c r="V91" s="32">
        <f>IF(T$12=0,0,T91/T$12)</f>
        <v>-0.81942022956552452</v>
      </c>
      <c r="W91" s="15"/>
      <c r="X91" s="35">
        <f>+P91-T91</f>
        <v>1270001.8099999996</v>
      </c>
      <c r="Y91" s="15"/>
      <c r="Z91" s="32">
        <f>IF(T91=0,0,X91/T91)</f>
        <v>-2.3803668856126263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54">
        <v>44604.028475694446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3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","450", " - ", "Beachside Dining Hall")</f>
        <v>Department 450 - Beachside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116650.59000000001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116650.59000000001</v>
      </c>
      <c r="M12" s="4"/>
      <c r="N12" s="12">
        <f t="shared" ref="N12:N15" si="1">IF(H12=0,0,L12/H12)</f>
        <v>0</v>
      </c>
      <c r="O12" s="10"/>
      <c r="P12" s="4">
        <f>SUM(OSRRefP13x_0)</f>
        <v>1014563.6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1014563.6</v>
      </c>
      <c r="Y12" s="4"/>
      <c r="Z12" s="12">
        <f t="shared" ref="Z12:Z15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--30.24</f>
        <v>30.24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30.24</v>
      </c>
      <c r="M13" s="2"/>
      <c r="N13" s="19">
        <f t="shared" si="1"/>
        <v>0</v>
      </c>
      <c r="O13" s="11"/>
      <c r="P13" s="2">
        <f>--193.36</f>
        <v>193.36</v>
      </c>
      <c r="Q13" s="2"/>
      <c r="R13" s="19"/>
      <c r="S13" s="2"/>
      <c r="T13" s="2">
        <f t="shared" ref="T13:T15" si="5">0</f>
        <v>0</v>
      </c>
      <c r="U13" s="2"/>
      <c r="V13" s="19"/>
      <c r="W13" s="2"/>
      <c r="X13" s="2">
        <f t="shared" si="2"/>
        <v>193.36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--116127.57</f>
        <v>116127.57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116127.57</v>
      </c>
      <c r="M14" s="2"/>
      <c r="N14" s="19">
        <f t="shared" si="1"/>
        <v>0</v>
      </c>
      <c r="O14" s="11"/>
      <c r="P14" s="2">
        <f>--1009402.57</f>
        <v>1009402.57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1009402.57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--492.78</f>
        <v>492.78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492.78</v>
      </c>
      <c r="M15" s="2"/>
      <c r="N15" s="19">
        <f t="shared" si="1"/>
        <v>0</v>
      </c>
      <c r="O15" s="11"/>
      <c r="P15" s="2">
        <f>--4967.67</f>
        <v>4967.67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4967.67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24438.3</v>
      </c>
      <c r="E17" s="4"/>
      <c r="F17" s="12">
        <f t="shared" ref="F17:F19" si="6">IF(D$12=0,0,D17/D$12)</f>
        <v>0.20950001195879075</v>
      </c>
      <c r="G17" s="4"/>
      <c r="H17" s="4">
        <f>SUM(OSRRefH16x_0)</f>
        <v>0</v>
      </c>
      <c r="I17" s="4"/>
      <c r="J17" s="12">
        <f t="shared" ref="J17:J19" si="7">IF(H$12=0,0,H17/H$12)</f>
        <v>0</v>
      </c>
      <c r="K17" s="4"/>
      <c r="L17" s="4">
        <f t="shared" ref="L17:L19" si="8">+D17-H17</f>
        <v>24438.3</v>
      </c>
      <c r="M17" s="4"/>
      <c r="N17" s="12">
        <f t="shared" ref="N17:N19" si="9">IF(H17=0,0,L17/H17)</f>
        <v>0</v>
      </c>
      <c r="O17" s="10"/>
      <c r="P17" s="4">
        <f>SUM(OSRRefP16x_0)</f>
        <v>261814.59000000003</v>
      </c>
      <c r="Q17" s="4"/>
      <c r="R17" s="12">
        <f t="shared" ref="R17:R19" si="10">IF(P$12=0,0,P17/P$12)</f>
        <v>0.25805636038982677</v>
      </c>
      <c r="S17" s="4"/>
      <c r="T17" s="4">
        <f>SUM(OSRRefT16x_0)</f>
        <v>0</v>
      </c>
      <c r="U17" s="4"/>
      <c r="V17" s="12">
        <f t="shared" ref="V17:V19" si="11">IF(T$12=0,0,T17/T$12)</f>
        <v>0</v>
      </c>
      <c r="W17" s="4"/>
      <c r="X17" s="4">
        <f t="shared" ref="X17:X19" si="12">+P17-T17</f>
        <v>261814.59000000003</v>
      </c>
      <c r="Y17" s="4"/>
      <c r="Z17" s="12">
        <f t="shared" ref="Z17:Z19" si="13">IF(T17=0,0,X17/T17)</f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27390.3</v>
      </c>
      <c r="E18" s="2"/>
      <c r="F18" s="19">
        <f t="shared" si="6"/>
        <v>0.2348063563159003</v>
      </c>
      <c r="G18" s="2"/>
      <c r="H18" s="2"/>
      <c r="I18" s="2"/>
      <c r="J18" s="19">
        <f t="shared" si="7"/>
        <v>0</v>
      </c>
      <c r="K18" s="2"/>
      <c r="L18" s="2">
        <f t="shared" si="8"/>
        <v>27390.3</v>
      </c>
      <c r="M18" s="2"/>
      <c r="N18" s="19">
        <f t="shared" si="9"/>
        <v>0</v>
      </c>
      <c r="O18" s="11"/>
      <c r="P18" s="2">
        <v>273593.65000000002</v>
      </c>
      <c r="Q18" s="2"/>
      <c r="R18" s="19">
        <f t="shared" si="10"/>
        <v>0.26966633732966572</v>
      </c>
      <c r="S18" s="2"/>
      <c r="T18" s="2"/>
      <c r="U18" s="2"/>
      <c r="V18" s="19">
        <f t="shared" si="11"/>
        <v>0</v>
      </c>
      <c r="W18" s="2"/>
      <c r="X18" s="2">
        <f t="shared" si="12"/>
        <v>273593.65000000002</v>
      </c>
      <c r="Y18" s="2"/>
      <c r="Z18" s="19">
        <f t="shared" si="13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-2952</v>
      </c>
      <c r="E19" s="2"/>
      <c r="F19" s="19">
        <f t="shared" si="6"/>
        <v>-2.5306344357109552E-2</v>
      </c>
      <c r="G19" s="2"/>
      <c r="H19" s="2"/>
      <c r="I19" s="2"/>
      <c r="J19" s="19">
        <f t="shared" si="7"/>
        <v>0</v>
      </c>
      <c r="K19" s="2"/>
      <c r="L19" s="2">
        <f t="shared" si="8"/>
        <v>-2952</v>
      </c>
      <c r="M19" s="2"/>
      <c r="N19" s="19">
        <f t="shared" si="9"/>
        <v>0</v>
      </c>
      <c r="O19" s="11"/>
      <c r="P19" s="2">
        <v>-11779.06</v>
      </c>
      <c r="Q19" s="2"/>
      <c r="R19" s="19">
        <f t="shared" si="10"/>
        <v>-1.1609976939838961E-2</v>
      </c>
      <c r="S19" s="2"/>
      <c r="T19" s="2"/>
      <c r="U19" s="2"/>
      <c r="V19" s="19">
        <f t="shared" si="11"/>
        <v>0</v>
      </c>
      <c r="W19" s="2"/>
      <c r="X19" s="2">
        <f t="shared" si="12"/>
        <v>-11779.06</v>
      </c>
      <c r="Y19" s="2"/>
      <c r="Z19" s="19">
        <f t="shared" si="13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92212.290000000008</v>
      </c>
      <c r="E21" s="13"/>
      <c r="F21" s="22">
        <f>IF(D$12=0,0,D21/D$12)</f>
        <v>0.79049998804120925</v>
      </c>
      <c r="G21" s="13"/>
      <c r="H21" s="21">
        <f>H12-H17</f>
        <v>0</v>
      </c>
      <c r="I21" s="13"/>
      <c r="J21" s="22">
        <f>IF(H$12=0,0,H21/H$12)</f>
        <v>0</v>
      </c>
      <c r="K21" s="15"/>
      <c r="L21" s="21">
        <f>+D21-H21</f>
        <v>92212.290000000008</v>
      </c>
      <c r="M21" s="15"/>
      <c r="N21" s="22">
        <f>IF(H21=0,0,L21/H21)</f>
        <v>0</v>
      </c>
      <c r="O21" s="26"/>
      <c r="P21" s="21">
        <f>P12-P17</f>
        <v>752749.01</v>
      </c>
      <c r="Q21" s="13"/>
      <c r="R21" s="22">
        <f>IF(P$12=0,0,P21/P$12)</f>
        <v>0.74194363961017329</v>
      </c>
      <c r="S21" s="13"/>
      <c r="T21" s="21">
        <f>T12-T17</f>
        <v>0</v>
      </c>
      <c r="U21" s="13"/>
      <c r="V21" s="22">
        <f>IF(T$12=0,0,T21/T$12)</f>
        <v>0</v>
      </c>
      <c r="W21" s="15"/>
      <c r="X21" s="21">
        <f>+P21-T21</f>
        <v>752749.01</v>
      </c>
      <c r="Y21" s="15"/>
      <c r="Z21" s="22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80142.510000000009</v>
      </c>
      <c r="E23" s="20"/>
      <c r="F23" s="30">
        <f t="shared" ref="F23:F33" si="14">IF(D$12=0,0,D23/D$12)</f>
        <v>0.68703047279915175</v>
      </c>
      <c r="G23" s="20"/>
      <c r="H23" s="20">
        <f>SUM(OSRRefH22x_0)</f>
        <v>41216.369999999995</v>
      </c>
      <c r="I23" s="20"/>
      <c r="J23" s="30">
        <f t="shared" ref="J23:J33" si="15">IF(H$12=0,0,H23/H$12)</f>
        <v>0</v>
      </c>
      <c r="K23" s="4"/>
      <c r="L23" s="20">
        <f t="shared" ref="L23:L33" si="16">+D23-H23</f>
        <v>38926.140000000014</v>
      </c>
      <c r="M23" s="4"/>
      <c r="N23" s="30">
        <f t="shared" ref="N23:N33" si="17">IF(H23=0,0,L23/H23)</f>
        <v>0.94443397125947814</v>
      </c>
      <c r="O23" s="10"/>
      <c r="P23" s="20">
        <f>SUM(OSRRefP22x_0)</f>
        <v>746501.41000000015</v>
      </c>
      <c r="Q23" s="20"/>
      <c r="R23" s="30">
        <f t="shared" ref="R23:R33" si="18">IF(P$12=0,0,P23/P$12)</f>
        <v>0.73578572107258744</v>
      </c>
      <c r="S23" s="20"/>
      <c r="T23" s="20">
        <f>SUM(OSRRefT22x_0)</f>
        <v>290086.99999999988</v>
      </c>
      <c r="U23" s="20"/>
      <c r="V23" s="30">
        <f t="shared" ref="V23:V33" si="19">IF(T$12=0,0,T23/T$12)</f>
        <v>0</v>
      </c>
      <c r="W23" s="4"/>
      <c r="X23" s="20">
        <f t="shared" ref="X23:X33" si="20">+P23-T23</f>
        <v>456414.41000000027</v>
      </c>
      <c r="Y23" s="4"/>
      <c r="Z23" s="30">
        <f t="shared" ref="Z23:Z33" si="21">IF(T23=0,0,X23/T23)</f>
        <v>1.5733707818688891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24304.190000000002</v>
      </c>
      <c r="E24" s="1"/>
      <c r="F24" s="5">
        <f t="shared" si="14"/>
        <v>0.20835033924817697</v>
      </c>
      <c r="G24" s="1"/>
      <c r="H24" s="1">
        <f>SUM(OSRRefH22_0x_0)</f>
        <v>18049.039999999997</v>
      </c>
      <c r="I24" s="1"/>
      <c r="J24" s="5">
        <f t="shared" si="15"/>
        <v>0</v>
      </c>
      <c r="K24" s="1"/>
      <c r="L24" s="1">
        <f t="shared" si="16"/>
        <v>6255.1500000000051</v>
      </c>
      <c r="M24" s="1"/>
      <c r="N24" s="5">
        <f t="shared" si="17"/>
        <v>0.34656413859130492</v>
      </c>
      <c r="O24" s="14"/>
      <c r="P24" s="1">
        <f>SUM(OSRRefP22_0x_0)</f>
        <v>159736.09999999998</v>
      </c>
      <c r="Q24" s="1"/>
      <c r="R24" s="5">
        <f t="shared" si="18"/>
        <v>0.15744316078361179</v>
      </c>
      <c r="S24" s="1"/>
      <c r="T24" s="1">
        <f>SUM(OSRRefT22_0x_0)</f>
        <v>136445.60999999999</v>
      </c>
      <c r="U24" s="1"/>
      <c r="V24" s="5">
        <f t="shared" si="19"/>
        <v>0</v>
      </c>
      <c r="W24" s="1"/>
      <c r="X24" s="1">
        <f t="shared" si="20"/>
        <v>23290.489999999991</v>
      </c>
      <c r="Y24" s="1"/>
      <c r="Z24" s="5">
        <f t="shared" si="21"/>
        <v>0.17069431548585545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2313.65</v>
      </c>
      <c r="E25" s="2"/>
      <c r="F25" s="6">
        <f t="shared" si="14"/>
        <v>1.9834018842082152E-2</v>
      </c>
      <c r="G25" s="2"/>
      <c r="H25" s="7">
        <v>1610.27</v>
      </c>
      <c r="I25" s="2"/>
      <c r="J25" s="6">
        <f t="shared" si="15"/>
        <v>0</v>
      </c>
      <c r="K25" s="2"/>
      <c r="L25" s="7">
        <f t="shared" si="16"/>
        <v>703.38000000000011</v>
      </c>
      <c r="M25" s="2"/>
      <c r="N25" s="6">
        <f t="shared" si="17"/>
        <v>0.43680873393902891</v>
      </c>
      <c r="O25" s="11"/>
      <c r="P25" s="7">
        <v>20877.169999999998</v>
      </c>
      <c r="Q25" s="2"/>
      <c r="R25" s="6">
        <f t="shared" si="18"/>
        <v>2.0577487700130379E-2</v>
      </c>
      <c r="S25" s="2"/>
      <c r="T25" s="7">
        <v>11864.9</v>
      </c>
      <c r="U25" s="2"/>
      <c r="V25" s="6">
        <f t="shared" si="19"/>
        <v>0</v>
      </c>
      <c r="W25" s="2"/>
      <c r="X25" s="7">
        <f t="shared" si="20"/>
        <v>9012.2699999999986</v>
      </c>
      <c r="Y25" s="2"/>
      <c r="Z25" s="6">
        <f t="shared" si="21"/>
        <v>0.75957403770786092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1197.9000000000001</v>
      </c>
      <c r="E26" s="2"/>
      <c r="F26" s="6">
        <f t="shared" si="14"/>
        <v>1.0269129371741712E-2</v>
      </c>
      <c r="G26" s="2"/>
      <c r="H26" s="7">
        <v>365.63</v>
      </c>
      <c r="I26" s="2"/>
      <c r="J26" s="6">
        <f t="shared" si="15"/>
        <v>0</v>
      </c>
      <c r="K26" s="2"/>
      <c r="L26" s="7">
        <f t="shared" si="16"/>
        <v>832.2700000000001</v>
      </c>
      <c r="M26" s="2"/>
      <c r="N26" s="6">
        <f t="shared" si="17"/>
        <v>2.2762628887126333</v>
      </c>
      <c r="O26" s="11"/>
      <c r="P26" s="7">
        <v>13152.9</v>
      </c>
      <c r="Q26" s="2"/>
      <c r="R26" s="6">
        <f t="shared" si="18"/>
        <v>1.2964096090181039E-2</v>
      </c>
      <c r="S26" s="2"/>
      <c r="T26" s="7">
        <v>6557.72</v>
      </c>
      <c r="U26" s="2"/>
      <c r="V26" s="6">
        <f t="shared" si="19"/>
        <v>0</v>
      </c>
      <c r="W26" s="2"/>
      <c r="X26" s="7">
        <f t="shared" si="20"/>
        <v>6595.1799999999994</v>
      </c>
      <c r="Y26" s="2"/>
      <c r="Z26" s="6">
        <f t="shared" si="21"/>
        <v>1.0057123512440298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12752.57</v>
      </c>
      <c r="E27" s="2"/>
      <c r="F27" s="6">
        <f t="shared" si="14"/>
        <v>0.10932280754002185</v>
      </c>
      <c r="G27" s="2"/>
      <c r="H27" s="7">
        <v>12477.9</v>
      </c>
      <c r="I27" s="2"/>
      <c r="J27" s="6">
        <f t="shared" si="15"/>
        <v>0</v>
      </c>
      <c r="K27" s="2"/>
      <c r="L27" s="7">
        <f t="shared" si="16"/>
        <v>274.67000000000007</v>
      </c>
      <c r="M27" s="2"/>
      <c r="N27" s="6">
        <f t="shared" si="17"/>
        <v>2.2012518132057485E-2</v>
      </c>
      <c r="O27" s="11"/>
      <c r="P27" s="7">
        <v>84251.61</v>
      </c>
      <c r="Q27" s="2"/>
      <c r="R27" s="6">
        <f t="shared" si="18"/>
        <v>8.3042216377563718E-2</v>
      </c>
      <c r="S27" s="2"/>
      <c r="T27" s="7">
        <v>88179.5</v>
      </c>
      <c r="U27" s="2"/>
      <c r="V27" s="6">
        <f t="shared" si="19"/>
        <v>0</v>
      </c>
      <c r="W27" s="2"/>
      <c r="X27" s="7">
        <f t="shared" si="20"/>
        <v>-3927.8899999999994</v>
      </c>
      <c r="Y27" s="2"/>
      <c r="Z27" s="6">
        <f t="shared" si="21"/>
        <v>-4.4544253482952378E-2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86.5</v>
      </c>
      <c r="E28" s="2"/>
      <c r="F28" s="6">
        <f t="shared" si="14"/>
        <v>7.4153075436652303E-4</v>
      </c>
      <c r="G28" s="2"/>
      <c r="H28" s="7">
        <v>108.72</v>
      </c>
      <c r="I28" s="2"/>
      <c r="J28" s="6">
        <f t="shared" si="15"/>
        <v>0</v>
      </c>
      <c r="K28" s="2"/>
      <c r="L28" s="7">
        <f t="shared" si="16"/>
        <v>-22.22</v>
      </c>
      <c r="M28" s="2"/>
      <c r="N28" s="6">
        <f t="shared" si="17"/>
        <v>-0.20437821927888153</v>
      </c>
      <c r="O28" s="11"/>
      <c r="P28" s="7">
        <v>949.93</v>
      </c>
      <c r="Q28" s="2"/>
      <c r="R28" s="6">
        <f t="shared" si="18"/>
        <v>9.3629418599287416E-4</v>
      </c>
      <c r="S28" s="2"/>
      <c r="T28" s="7">
        <v>406.1</v>
      </c>
      <c r="U28" s="2"/>
      <c r="V28" s="6">
        <f t="shared" si="19"/>
        <v>0</v>
      </c>
      <c r="W28" s="2"/>
      <c r="X28" s="7">
        <f t="shared" si="20"/>
        <v>543.82999999999993</v>
      </c>
      <c r="Y28" s="2"/>
      <c r="Z28" s="6">
        <f t="shared" si="21"/>
        <v>1.3391529180004922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1247.6300000000001</v>
      </c>
      <c r="E29" s="2"/>
      <c r="F29" s="6">
        <f t="shared" si="14"/>
        <v>1.0695445260928384E-2</v>
      </c>
      <c r="G29" s="2"/>
      <c r="H29" s="7">
        <v>736.72</v>
      </c>
      <c r="I29" s="2"/>
      <c r="J29" s="6">
        <f t="shared" si="15"/>
        <v>0</v>
      </c>
      <c r="K29" s="2"/>
      <c r="L29" s="7">
        <f t="shared" si="16"/>
        <v>510.91000000000008</v>
      </c>
      <c r="M29" s="2"/>
      <c r="N29" s="6">
        <f t="shared" si="17"/>
        <v>0.69349277880334459</v>
      </c>
      <c r="O29" s="11"/>
      <c r="P29" s="7">
        <v>4647.1400000000003</v>
      </c>
      <c r="Q29" s="2"/>
      <c r="R29" s="6">
        <f t="shared" si="18"/>
        <v>4.5804324144883574E-3</v>
      </c>
      <c r="S29" s="2"/>
      <c r="T29" s="7">
        <v>4007.9</v>
      </c>
      <c r="U29" s="2"/>
      <c r="V29" s="6">
        <f t="shared" si="19"/>
        <v>0</v>
      </c>
      <c r="W29" s="2"/>
      <c r="X29" s="7">
        <f t="shared" si="20"/>
        <v>639.24000000000024</v>
      </c>
      <c r="Y29" s="2"/>
      <c r="Z29" s="6">
        <f t="shared" si="21"/>
        <v>0.15949499738017422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552.92999999999995</v>
      </c>
      <c r="E30" s="2"/>
      <c r="F30" s="6">
        <f t="shared" si="14"/>
        <v>4.7400531793281107E-3</v>
      </c>
      <c r="G30" s="2"/>
      <c r="H30" s="7">
        <v>551.29999999999995</v>
      </c>
      <c r="I30" s="2"/>
      <c r="J30" s="6">
        <f t="shared" si="15"/>
        <v>0</v>
      </c>
      <c r="K30" s="2"/>
      <c r="L30" s="7">
        <f t="shared" si="16"/>
        <v>1.6299999999999955</v>
      </c>
      <c r="M30" s="2"/>
      <c r="N30" s="6">
        <f t="shared" si="17"/>
        <v>2.9566479230908682E-3</v>
      </c>
      <c r="O30" s="11"/>
      <c r="P30" s="7">
        <v>5036.93</v>
      </c>
      <c r="Q30" s="2"/>
      <c r="R30" s="6">
        <f t="shared" si="18"/>
        <v>4.9646271559515842E-3</v>
      </c>
      <c r="S30" s="2"/>
      <c r="T30" s="7">
        <v>3999.79</v>
      </c>
      <c r="U30" s="2"/>
      <c r="V30" s="6">
        <f t="shared" si="19"/>
        <v>0</v>
      </c>
      <c r="W30" s="2"/>
      <c r="X30" s="7">
        <f t="shared" si="20"/>
        <v>1037.1400000000003</v>
      </c>
      <c r="Y30" s="2"/>
      <c r="Z30" s="6">
        <f t="shared" si="21"/>
        <v>0.25929861317719188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2680.01</v>
      </c>
      <c r="E31" s="2"/>
      <c r="F31" s="6">
        <f t="shared" si="14"/>
        <v>2.2974680196645385E-2</v>
      </c>
      <c r="G31" s="2"/>
      <c r="H31" s="7">
        <v>1248.1600000000001</v>
      </c>
      <c r="I31" s="2"/>
      <c r="J31" s="6">
        <f t="shared" si="15"/>
        <v>0</v>
      </c>
      <c r="K31" s="2"/>
      <c r="L31" s="7">
        <f t="shared" si="16"/>
        <v>1431.8500000000001</v>
      </c>
      <c r="M31" s="2"/>
      <c r="N31" s="6">
        <f t="shared" si="17"/>
        <v>1.1471686322266377</v>
      </c>
      <c r="O31" s="11"/>
      <c r="P31" s="7">
        <v>12497.76</v>
      </c>
      <c r="Q31" s="2"/>
      <c r="R31" s="6">
        <f t="shared" si="18"/>
        <v>1.2318360327533927E-2</v>
      </c>
      <c r="S31" s="2"/>
      <c r="T31" s="7">
        <v>9258.2099999999991</v>
      </c>
      <c r="U31" s="2"/>
      <c r="V31" s="6">
        <f t="shared" si="19"/>
        <v>0</v>
      </c>
      <c r="W31" s="2"/>
      <c r="X31" s="7">
        <f t="shared" si="20"/>
        <v>3239.5500000000011</v>
      </c>
      <c r="Y31" s="2"/>
      <c r="Z31" s="6">
        <f t="shared" si="21"/>
        <v>0.34991105192040378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2595.77</v>
      </c>
      <c r="E32" s="2"/>
      <c r="F32" s="6">
        <f t="shared" si="14"/>
        <v>2.2252523540601036E-2</v>
      </c>
      <c r="G32" s="2"/>
      <c r="H32" s="7">
        <v>950.34</v>
      </c>
      <c r="I32" s="2"/>
      <c r="J32" s="6">
        <f t="shared" si="15"/>
        <v>0</v>
      </c>
      <c r="K32" s="2"/>
      <c r="L32" s="7">
        <f t="shared" si="16"/>
        <v>1645.4299999999998</v>
      </c>
      <c r="M32" s="2"/>
      <c r="N32" s="6">
        <f t="shared" si="17"/>
        <v>1.7314119157354209</v>
      </c>
      <c r="O32" s="11"/>
      <c r="P32" s="7">
        <v>10999.05</v>
      </c>
      <c r="Q32" s="2"/>
      <c r="R32" s="6">
        <f t="shared" si="18"/>
        <v>1.0841163629367346E-2</v>
      </c>
      <c r="S32" s="2"/>
      <c r="T32" s="7">
        <v>7102.71</v>
      </c>
      <c r="U32" s="2"/>
      <c r="V32" s="6">
        <f t="shared" si="19"/>
        <v>0</v>
      </c>
      <c r="W32" s="2"/>
      <c r="X32" s="7">
        <f t="shared" si="20"/>
        <v>3896.3399999999992</v>
      </c>
      <c r="Y32" s="2"/>
      <c r="Z32" s="6">
        <f t="shared" si="21"/>
        <v>0.5485708975869773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877.23</v>
      </c>
      <c r="E33" s="2"/>
      <c r="F33" s="6">
        <f t="shared" si="14"/>
        <v>7.5201505624617922E-3</v>
      </c>
      <c r="G33" s="2"/>
      <c r="H33" s="7"/>
      <c r="I33" s="2"/>
      <c r="J33" s="6">
        <f t="shared" si="15"/>
        <v>0</v>
      </c>
      <c r="K33" s="2"/>
      <c r="L33" s="7">
        <f t="shared" si="16"/>
        <v>877.23</v>
      </c>
      <c r="M33" s="2"/>
      <c r="N33" s="6">
        <f t="shared" si="17"/>
        <v>0</v>
      </c>
      <c r="O33" s="11"/>
      <c r="P33" s="7">
        <v>7323.61</v>
      </c>
      <c r="Q33" s="2"/>
      <c r="R33" s="6">
        <f t="shared" si="18"/>
        <v>7.2184829024025694E-3</v>
      </c>
      <c r="S33" s="2"/>
      <c r="T33" s="7">
        <v>5068.78</v>
      </c>
      <c r="U33" s="2"/>
      <c r="V33" s="6">
        <f t="shared" si="19"/>
        <v>0</v>
      </c>
      <c r="W33" s="2"/>
      <c r="X33" s="7">
        <f t="shared" si="20"/>
        <v>2254.83</v>
      </c>
      <c r="Y33" s="2"/>
      <c r="Z33" s="6">
        <f t="shared" si="21"/>
        <v>0.4448466889468472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40771.869999999995</v>
      </c>
      <c r="E34" s="1"/>
      <c r="F34" s="5">
        <f t="shared" ref="F34:F39" si="22">IF(D$12=0,0,D34/D$12)</f>
        <v>0.34952133546859893</v>
      </c>
      <c r="G34" s="1"/>
      <c r="H34" s="1">
        <f>SUM(OSRRefH22_1x_0)</f>
        <v>21011.260000000002</v>
      </c>
      <c r="I34" s="1"/>
      <c r="J34" s="5">
        <f t="shared" ref="J34:J39" si="23">IF(H$12=0,0,H34/H$12)</f>
        <v>0</v>
      </c>
      <c r="K34" s="1"/>
      <c r="L34" s="1">
        <f t="shared" ref="L34:L39" si="24">+D34-H34</f>
        <v>19760.609999999993</v>
      </c>
      <c r="M34" s="1"/>
      <c r="N34" s="5">
        <f t="shared" ref="N34:N39" si="25">IF(H34=0,0,L34/H34)</f>
        <v>0.940477153678551</v>
      </c>
      <c r="O34" s="14"/>
      <c r="P34" s="1">
        <f>SUM(OSRRefP22_1x_0)</f>
        <v>404606.55</v>
      </c>
      <c r="Q34" s="1"/>
      <c r="R34" s="5">
        <f t="shared" ref="R34:R39" si="26">IF(P$12=0,0,P34/P$12)</f>
        <v>0.39879860661273475</v>
      </c>
      <c r="S34" s="1"/>
      <c r="T34" s="1">
        <f>SUM(OSRRefT22_1x_0)</f>
        <v>145150.72</v>
      </c>
      <c r="U34" s="1"/>
      <c r="V34" s="5">
        <f t="shared" ref="V34:V39" si="27">IF(T$12=0,0,T34/T$12)</f>
        <v>0</v>
      </c>
      <c r="W34" s="1"/>
      <c r="X34" s="1">
        <f t="shared" ref="X34:X39" si="28">+P34-T34</f>
        <v>259455.83</v>
      </c>
      <c r="Y34" s="1"/>
      <c r="Z34" s="5">
        <f t="shared" ref="Z34:Z39" si="29">IF(T34=0,0,X34/T34)</f>
        <v>1.7874925456794151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13893.14</v>
      </c>
      <c r="E35" s="2"/>
      <c r="F35" s="6">
        <f t="shared" si="22"/>
        <v>0.11910046918751116</v>
      </c>
      <c r="G35" s="2"/>
      <c r="H35" s="7">
        <v>3883</v>
      </c>
      <c r="I35" s="2"/>
      <c r="J35" s="6">
        <f t="shared" si="23"/>
        <v>0</v>
      </c>
      <c r="K35" s="2"/>
      <c r="L35" s="7">
        <f t="shared" si="24"/>
        <v>10010.14</v>
      </c>
      <c r="M35" s="2"/>
      <c r="N35" s="6">
        <f t="shared" si="25"/>
        <v>2.5779397373165076</v>
      </c>
      <c r="O35" s="11"/>
      <c r="P35" s="7">
        <v>48762.080000000002</v>
      </c>
      <c r="Q35" s="2"/>
      <c r="R35" s="6">
        <f t="shared" si="26"/>
        <v>4.8062122473150032E-2</v>
      </c>
      <c r="S35" s="2"/>
      <c r="T35" s="7">
        <v>30594.99</v>
      </c>
      <c r="U35" s="2"/>
      <c r="V35" s="6">
        <f t="shared" si="27"/>
        <v>0</v>
      </c>
      <c r="W35" s="2"/>
      <c r="X35" s="7">
        <f t="shared" si="28"/>
        <v>18167.09</v>
      </c>
      <c r="Y35" s="2"/>
      <c r="Z35" s="6">
        <f t="shared" si="29"/>
        <v>0.59379297067918635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10683.29</v>
      </c>
      <c r="E36" s="2"/>
      <c r="F36" s="6">
        <f t="shared" si="22"/>
        <v>9.1583677373599223E-2</v>
      </c>
      <c r="G36" s="2"/>
      <c r="H36" s="7">
        <v>13660.26</v>
      </c>
      <c r="I36" s="2"/>
      <c r="J36" s="6">
        <f t="shared" si="23"/>
        <v>0</v>
      </c>
      <c r="K36" s="2"/>
      <c r="L36" s="7">
        <f t="shared" si="24"/>
        <v>-2976.9699999999993</v>
      </c>
      <c r="M36" s="2"/>
      <c r="N36" s="6">
        <f t="shared" si="25"/>
        <v>-0.21792923414342036</v>
      </c>
      <c r="O36" s="11"/>
      <c r="P36" s="7">
        <v>168401.81</v>
      </c>
      <c r="Q36" s="2"/>
      <c r="R36" s="6">
        <f t="shared" si="26"/>
        <v>0.16598447844965067</v>
      </c>
      <c r="S36" s="2"/>
      <c r="T36" s="7">
        <v>111087.73</v>
      </c>
      <c r="U36" s="2"/>
      <c r="V36" s="6">
        <f t="shared" si="27"/>
        <v>0</v>
      </c>
      <c r="W36" s="2"/>
      <c r="X36" s="7">
        <f t="shared" si="28"/>
        <v>57314.080000000002</v>
      </c>
      <c r="Y36" s="2"/>
      <c r="Z36" s="6">
        <f t="shared" si="29"/>
        <v>0.51593528826270918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1347.78</v>
      </c>
      <c r="E37" s="2"/>
      <c r="F37" s="6">
        <f t="shared" si="22"/>
        <v>1.1553992140116907E-2</v>
      </c>
      <c r="G37" s="2"/>
      <c r="H37" s="7"/>
      <c r="I37" s="2"/>
      <c r="J37" s="6">
        <f t="shared" si="23"/>
        <v>0</v>
      </c>
      <c r="K37" s="2"/>
      <c r="L37" s="7">
        <f t="shared" si="24"/>
        <v>1347.78</v>
      </c>
      <c r="M37" s="2"/>
      <c r="N37" s="6">
        <f t="shared" si="25"/>
        <v>0</v>
      </c>
      <c r="O37" s="11"/>
      <c r="P37" s="7">
        <v>72170.55</v>
      </c>
      <c r="Q37" s="2"/>
      <c r="R37" s="6">
        <f t="shared" si="26"/>
        <v>7.1134574510656606E-2</v>
      </c>
      <c r="S37" s="2"/>
      <c r="T37" s="7"/>
      <c r="U37" s="2"/>
      <c r="V37" s="6">
        <f t="shared" si="27"/>
        <v>0</v>
      </c>
      <c r="W37" s="2"/>
      <c r="X37" s="7">
        <f t="shared" si="28"/>
        <v>72170.55</v>
      </c>
      <c r="Y37" s="2"/>
      <c r="Z37" s="6">
        <f t="shared" si="2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13547.91</v>
      </c>
      <c r="E38" s="2"/>
      <c r="F38" s="6">
        <f t="shared" si="22"/>
        <v>0.11614094707965042</v>
      </c>
      <c r="G38" s="2"/>
      <c r="H38" s="7">
        <v>3468</v>
      </c>
      <c r="I38" s="2"/>
      <c r="J38" s="6">
        <f t="shared" si="23"/>
        <v>0</v>
      </c>
      <c r="K38" s="2"/>
      <c r="L38" s="7">
        <f t="shared" si="24"/>
        <v>10079.91</v>
      </c>
      <c r="M38" s="2"/>
      <c r="N38" s="6">
        <f t="shared" si="25"/>
        <v>2.9065484429065744</v>
      </c>
      <c r="O38" s="11"/>
      <c r="P38" s="7">
        <v>91922.36</v>
      </c>
      <c r="Q38" s="2"/>
      <c r="R38" s="6">
        <f t="shared" si="26"/>
        <v>9.0602856242822036E-2</v>
      </c>
      <c r="S38" s="2"/>
      <c r="T38" s="7">
        <v>3468</v>
      </c>
      <c r="U38" s="2"/>
      <c r="V38" s="6">
        <f t="shared" si="27"/>
        <v>0</v>
      </c>
      <c r="W38" s="2"/>
      <c r="X38" s="7">
        <f t="shared" si="28"/>
        <v>88454.36</v>
      </c>
      <c r="Y38" s="2"/>
      <c r="Z38" s="6">
        <f t="shared" si="29"/>
        <v>25.505870818915803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1299.75</v>
      </c>
      <c r="E39" s="2"/>
      <c r="F39" s="6">
        <f t="shared" si="22"/>
        <v>1.1142249687721253E-2</v>
      </c>
      <c r="G39" s="2"/>
      <c r="H39" s="7"/>
      <c r="I39" s="2"/>
      <c r="J39" s="6">
        <f t="shared" si="23"/>
        <v>0</v>
      </c>
      <c r="K39" s="2"/>
      <c r="L39" s="7">
        <f t="shared" si="24"/>
        <v>1299.75</v>
      </c>
      <c r="M39" s="2"/>
      <c r="N39" s="6">
        <f t="shared" si="25"/>
        <v>0</v>
      </c>
      <c r="O39" s="11"/>
      <c r="P39" s="7">
        <v>23349.75</v>
      </c>
      <c r="Q39" s="2"/>
      <c r="R39" s="6">
        <f t="shared" si="26"/>
        <v>2.3014574936455437E-2</v>
      </c>
      <c r="S39" s="2"/>
      <c r="T39" s="7"/>
      <c r="U39" s="2"/>
      <c r="V39" s="6">
        <f t="shared" si="27"/>
        <v>0</v>
      </c>
      <c r="W39" s="2"/>
      <c r="X39" s="7">
        <f t="shared" si="28"/>
        <v>23349.75</v>
      </c>
      <c r="Y39" s="2"/>
      <c r="Z39" s="6">
        <f t="shared" si="29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130.44</v>
      </c>
      <c r="E40" s="1"/>
      <c r="F40" s="5">
        <f t="shared" ref="F40:F62" si="30">IF(D$12=0,0,D40/D$12)</f>
        <v>1.1182112323649626E-3</v>
      </c>
      <c r="G40" s="1"/>
      <c r="H40" s="1">
        <f>SUM(OSRRefH22_2x_0)</f>
        <v>0</v>
      </c>
      <c r="I40" s="1"/>
      <c r="J40" s="5">
        <f t="shared" ref="J40:J62" si="31">IF(H$12=0,0,H40/H$12)</f>
        <v>0</v>
      </c>
      <c r="K40" s="1"/>
      <c r="L40" s="1">
        <f t="shared" ref="L40:L62" si="32">+D40-H40</f>
        <v>130.44</v>
      </c>
      <c r="M40" s="1"/>
      <c r="N40" s="5">
        <f t="shared" ref="N40:N62" si="33">IF(H40=0,0,L40/H40)</f>
        <v>0</v>
      </c>
      <c r="O40" s="14"/>
      <c r="P40" s="1">
        <f>SUM(OSRRefP22_2x_0)</f>
        <v>1053.75</v>
      </c>
      <c r="Q40" s="1"/>
      <c r="R40" s="5">
        <f t="shared" ref="R40:R62" si="34">IF(P$12=0,0,P40/P$12)</f>
        <v>1.0386238970134549E-3</v>
      </c>
      <c r="S40" s="1"/>
      <c r="T40" s="1">
        <f>SUM(OSRRefT22_2x_0)</f>
        <v>0</v>
      </c>
      <c r="U40" s="1"/>
      <c r="V40" s="5">
        <f t="shared" ref="V40:V62" si="35">IF(T$12=0,0,T40/T$12)</f>
        <v>0</v>
      </c>
      <c r="W40" s="1"/>
      <c r="X40" s="1">
        <f t="shared" ref="X40:X62" si="36">+P40-T40</f>
        <v>1053.75</v>
      </c>
      <c r="Y40" s="1"/>
      <c r="Z40" s="5">
        <f t="shared" ref="Z40:Z62" si="37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130.44</v>
      </c>
      <c r="E41" s="2"/>
      <c r="F41" s="6">
        <f t="shared" si="30"/>
        <v>1.1182112323649626E-3</v>
      </c>
      <c r="G41" s="2"/>
      <c r="H41" s="7"/>
      <c r="I41" s="2"/>
      <c r="J41" s="6">
        <f t="shared" si="31"/>
        <v>0</v>
      </c>
      <c r="K41" s="2"/>
      <c r="L41" s="7">
        <f t="shared" si="32"/>
        <v>130.44</v>
      </c>
      <c r="M41" s="2"/>
      <c r="N41" s="6">
        <f t="shared" si="33"/>
        <v>0</v>
      </c>
      <c r="O41" s="11"/>
      <c r="P41" s="7">
        <v>1053.75</v>
      </c>
      <c r="Q41" s="2"/>
      <c r="R41" s="6">
        <f t="shared" si="34"/>
        <v>1.0386238970134549E-3</v>
      </c>
      <c r="S41" s="2"/>
      <c r="T41" s="7"/>
      <c r="U41" s="2"/>
      <c r="V41" s="6">
        <f t="shared" si="35"/>
        <v>0</v>
      </c>
      <c r="W41" s="2"/>
      <c r="X41" s="7">
        <f t="shared" si="36"/>
        <v>1053.75</v>
      </c>
      <c r="Y41" s="2"/>
      <c r="Z41" s="6">
        <f t="shared" si="37"/>
        <v>0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8</v>
      </c>
      <c r="E42" s="1"/>
      <c r="F42" s="5">
        <f t="shared" si="30"/>
        <v>6.858087901655705E-5</v>
      </c>
      <c r="G42" s="1"/>
      <c r="H42" s="1">
        <f>SUM(OSRRefH22_3x_0)</f>
        <v>0</v>
      </c>
      <c r="I42" s="1"/>
      <c r="J42" s="5">
        <f t="shared" si="31"/>
        <v>0</v>
      </c>
      <c r="K42" s="1"/>
      <c r="L42" s="1">
        <f t="shared" si="32"/>
        <v>8</v>
      </c>
      <c r="M42" s="1"/>
      <c r="N42" s="5">
        <f t="shared" si="33"/>
        <v>0</v>
      </c>
      <c r="O42" s="14"/>
      <c r="P42" s="1">
        <f>SUM(OSRRefP22_3x_0)</f>
        <v>8</v>
      </c>
      <c r="Q42" s="1"/>
      <c r="R42" s="5">
        <f t="shared" si="34"/>
        <v>7.885163630944379E-6</v>
      </c>
      <c r="S42" s="1"/>
      <c r="T42" s="1">
        <f>SUM(OSRRefT22_3x_0)</f>
        <v>29.74</v>
      </c>
      <c r="U42" s="1"/>
      <c r="V42" s="5">
        <f t="shared" si="35"/>
        <v>0</v>
      </c>
      <c r="W42" s="1"/>
      <c r="X42" s="1">
        <f t="shared" si="36"/>
        <v>-21.74</v>
      </c>
      <c r="Y42" s="1"/>
      <c r="Z42" s="5">
        <f t="shared" si="37"/>
        <v>-0.73100201748486882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7">
        <v>8</v>
      </c>
      <c r="E43" s="2"/>
      <c r="F43" s="6">
        <f t="shared" si="30"/>
        <v>6.858087901655705E-5</v>
      </c>
      <c r="G43" s="2"/>
      <c r="H43" s="7"/>
      <c r="I43" s="2"/>
      <c r="J43" s="6">
        <f t="shared" si="31"/>
        <v>0</v>
      </c>
      <c r="K43" s="2"/>
      <c r="L43" s="7">
        <f t="shared" si="32"/>
        <v>8</v>
      </c>
      <c r="M43" s="2"/>
      <c r="N43" s="6">
        <f t="shared" si="33"/>
        <v>0</v>
      </c>
      <c r="O43" s="11"/>
      <c r="P43" s="7">
        <v>8</v>
      </c>
      <c r="Q43" s="2"/>
      <c r="R43" s="6">
        <f t="shared" si="34"/>
        <v>7.885163630944379E-6</v>
      </c>
      <c r="S43" s="2"/>
      <c r="T43" s="7">
        <v>29.74</v>
      </c>
      <c r="U43" s="2"/>
      <c r="V43" s="6">
        <f t="shared" si="35"/>
        <v>0</v>
      </c>
      <c r="W43" s="2"/>
      <c r="X43" s="7">
        <f t="shared" si="36"/>
        <v>-21.74</v>
      </c>
      <c r="Y43" s="2"/>
      <c r="Z43" s="6">
        <f t="shared" si="37"/>
        <v>-0.73100201748486882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19.46</v>
      </c>
      <c r="E44" s="1"/>
      <c r="F44" s="5">
        <f t="shared" si="30"/>
        <v>1.6682298820777503E-4</v>
      </c>
      <c r="G44" s="1"/>
      <c r="H44" s="1">
        <f>SUM(OSRRefH22_4x_0)</f>
        <v>0</v>
      </c>
      <c r="I44" s="1"/>
      <c r="J44" s="5">
        <f t="shared" si="31"/>
        <v>0</v>
      </c>
      <c r="K44" s="1"/>
      <c r="L44" s="1">
        <f t="shared" si="32"/>
        <v>19.46</v>
      </c>
      <c r="M44" s="1"/>
      <c r="N44" s="5">
        <f t="shared" si="33"/>
        <v>0</v>
      </c>
      <c r="O44" s="14"/>
      <c r="P44" s="1">
        <f>SUM(OSRRefP22_4x_0)</f>
        <v>275.02999999999997</v>
      </c>
      <c r="Q44" s="1"/>
      <c r="R44" s="5">
        <f t="shared" si="34"/>
        <v>2.7108206917732903E-4</v>
      </c>
      <c r="S44" s="1"/>
      <c r="T44" s="1">
        <f>SUM(OSRRefT22_4x_0)</f>
        <v>0</v>
      </c>
      <c r="U44" s="1"/>
      <c r="V44" s="5">
        <f t="shared" si="35"/>
        <v>0</v>
      </c>
      <c r="W44" s="1"/>
      <c r="X44" s="1">
        <f t="shared" si="36"/>
        <v>275.02999999999997</v>
      </c>
      <c r="Y44" s="1"/>
      <c r="Z44" s="5">
        <f t="shared" si="37"/>
        <v>0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19.46</v>
      </c>
      <c r="E45" s="2"/>
      <c r="F45" s="6">
        <f t="shared" si="30"/>
        <v>1.6682298820777503E-4</v>
      </c>
      <c r="G45" s="2"/>
      <c r="H45" s="7"/>
      <c r="I45" s="2"/>
      <c r="J45" s="6">
        <f t="shared" si="31"/>
        <v>0</v>
      </c>
      <c r="K45" s="2"/>
      <c r="L45" s="7">
        <f t="shared" si="32"/>
        <v>19.46</v>
      </c>
      <c r="M45" s="2"/>
      <c r="N45" s="6">
        <f t="shared" si="33"/>
        <v>0</v>
      </c>
      <c r="O45" s="11"/>
      <c r="P45" s="7">
        <v>275.02999999999997</v>
      </c>
      <c r="Q45" s="2"/>
      <c r="R45" s="6">
        <f t="shared" si="34"/>
        <v>2.7108206917732903E-4</v>
      </c>
      <c r="S45" s="2"/>
      <c r="T45" s="7"/>
      <c r="U45" s="2"/>
      <c r="V45" s="6">
        <f t="shared" si="35"/>
        <v>0</v>
      </c>
      <c r="W45" s="2"/>
      <c r="X45" s="7">
        <f t="shared" si="36"/>
        <v>275.02999999999997</v>
      </c>
      <c r="Y45" s="2"/>
      <c r="Z45" s="6">
        <f t="shared" si="37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213.02</v>
      </c>
      <c r="E46" s="1"/>
      <c r="F46" s="5">
        <f t="shared" si="30"/>
        <v>1.8261373560133729E-3</v>
      </c>
      <c r="G46" s="1"/>
      <c r="H46" s="1">
        <f>SUM(OSRRefH22_5x_0)</f>
        <v>213.02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4"/>
      <c r="P46" s="1">
        <f>SUM(OSRRefP22_5x_0)</f>
        <v>1491.14</v>
      </c>
      <c r="Q46" s="1"/>
      <c r="R46" s="5">
        <f t="shared" si="34"/>
        <v>1.4697353620808002E-3</v>
      </c>
      <c r="S46" s="1"/>
      <c r="T46" s="1">
        <f>SUM(OSRRefT22_5x_0)</f>
        <v>1491.14</v>
      </c>
      <c r="U46" s="1"/>
      <c r="V46" s="5">
        <f t="shared" si="35"/>
        <v>0</v>
      </c>
      <c r="W46" s="1"/>
      <c r="X46" s="1">
        <f t="shared" si="36"/>
        <v>0</v>
      </c>
      <c r="Y46" s="1"/>
      <c r="Z46" s="5">
        <f t="shared" si="37"/>
        <v>0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213.02</v>
      </c>
      <c r="E47" s="2"/>
      <c r="F47" s="6">
        <f t="shared" si="30"/>
        <v>1.8261373560133729E-3</v>
      </c>
      <c r="G47" s="2"/>
      <c r="H47" s="7">
        <v>213.02</v>
      </c>
      <c r="I47" s="2"/>
      <c r="J47" s="6">
        <f t="shared" si="31"/>
        <v>0</v>
      </c>
      <c r="K47" s="2"/>
      <c r="L47" s="7">
        <f t="shared" si="32"/>
        <v>0</v>
      </c>
      <c r="M47" s="2"/>
      <c r="N47" s="6">
        <f t="shared" si="33"/>
        <v>0</v>
      </c>
      <c r="O47" s="11"/>
      <c r="P47" s="7">
        <v>1491.14</v>
      </c>
      <c r="Q47" s="2"/>
      <c r="R47" s="6">
        <f t="shared" si="34"/>
        <v>1.4697353620808002E-3</v>
      </c>
      <c r="S47" s="2"/>
      <c r="T47" s="7">
        <v>1491.14</v>
      </c>
      <c r="U47" s="2"/>
      <c r="V47" s="6">
        <f t="shared" si="35"/>
        <v>0</v>
      </c>
      <c r="W47" s="2"/>
      <c r="X47" s="7">
        <f t="shared" si="36"/>
        <v>0</v>
      </c>
      <c r="Y47" s="2"/>
      <c r="Z47" s="6">
        <f t="shared" si="37"/>
        <v>0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667.63</v>
      </c>
      <c r="E48" s="1"/>
      <c r="F48" s="5">
        <f t="shared" si="30"/>
        <v>5.7233315322279977E-3</v>
      </c>
      <c r="G48" s="1"/>
      <c r="H48" s="1">
        <f>SUM(OSRRefH22_6x_0)</f>
        <v>0</v>
      </c>
      <c r="I48" s="1"/>
      <c r="J48" s="5">
        <f t="shared" si="31"/>
        <v>0</v>
      </c>
      <c r="K48" s="1"/>
      <c r="L48" s="1">
        <f t="shared" si="32"/>
        <v>667.63</v>
      </c>
      <c r="M48" s="1"/>
      <c r="N48" s="5">
        <f t="shared" si="33"/>
        <v>0</v>
      </c>
      <c r="O48" s="14"/>
      <c r="P48" s="1">
        <f>SUM(OSRRefP22_6x_0)</f>
        <v>6727.63</v>
      </c>
      <c r="Q48" s="1"/>
      <c r="R48" s="5">
        <f t="shared" si="34"/>
        <v>6.6310579248062915E-3</v>
      </c>
      <c r="S48" s="1"/>
      <c r="T48" s="1">
        <f>SUM(OSRRefT22_6x_0)</f>
        <v>0</v>
      </c>
      <c r="U48" s="1"/>
      <c r="V48" s="5">
        <f t="shared" si="35"/>
        <v>0</v>
      </c>
      <c r="W48" s="1"/>
      <c r="X48" s="1">
        <f t="shared" si="36"/>
        <v>6727.63</v>
      </c>
      <c r="Y48" s="1"/>
      <c r="Z48" s="5">
        <f t="shared" si="37"/>
        <v>0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7">
        <v>667.63</v>
      </c>
      <c r="E49" s="2"/>
      <c r="F49" s="6">
        <f t="shared" si="30"/>
        <v>5.7233315322279977E-3</v>
      </c>
      <c r="G49" s="2"/>
      <c r="H49" s="7"/>
      <c r="I49" s="2"/>
      <c r="J49" s="6">
        <f t="shared" si="31"/>
        <v>0</v>
      </c>
      <c r="K49" s="2"/>
      <c r="L49" s="7">
        <f t="shared" si="32"/>
        <v>667.63</v>
      </c>
      <c r="M49" s="2"/>
      <c r="N49" s="6">
        <f t="shared" si="33"/>
        <v>0</v>
      </c>
      <c r="O49" s="11"/>
      <c r="P49" s="7">
        <v>6727.63</v>
      </c>
      <c r="Q49" s="2"/>
      <c r="R49" s="6">
        <f t="shared" si="34"/>
        <v>6.6310579248062915E-3</v>
      </c>
      <c r="S49" s="2"/>
      <c r="T49" s="7"/>
      <c r="U49" s="2"/>
      <c r="V49" s="6">
        <f t="shared" si="35"/>
        <v>0</v>
      </c>
      <c r="W49" s="2"/>
      <c r="X49" s="7">
        <f t="shared" si="36"/>
        <v>6727.63</v>
      </c>
      <c r="Y49" s="2"/>
      <c r="Z49" s="6">
        <f t="shared" si="37"/>
        <v>0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75.98</v>
      </c>
      <c r="E50" s="1"/>
      <c r="F50" s="5">
        <f t="shared" si="30"/>
        <v>6.5134689845975063E-4</v>
      </c>
      <c r="G50" s="1"/>
      <c r="H50" s="1">
        <f>SUM(OSRRefH22_7x_0)</f>
        <v>0</v>
      </c>
      <c r="I50" s="1"/>
      <c r="J50" s="5">
        <f t="shared" si="31"/>
        <v>0</v>
      </c>
      <c r="K50" s="1"/>
      <c r="L50" s="1">
        <f t="shared" si="32"/>
        <v>75.98</v>
      </c>
      <c r="M50" s="1"/>
      <c r="N50" s="5">
        <f t="shared" si="33"/>
        <v>0</v>
      </c>
      <c r="O50" s="14"/>
      <c r="P50" s="1">
        <f>SUM(OSRRefP22_7x_0)</f>
        <v>90.47</v>
      </c>
      <c r="Q50" s="1"/>
      <c r="R50" s="5">
        <f t="shared" si="34"/>
        <v>8.9171344211442244E-5</v>
      </c>
      <c r="S50" s="1"/>
      <c r="T50" s="1">
        <f>SUM(OSRRefT22_7x_0)</f>
        <v>0</v>
      </c>
      <c r="U50" s="1"/>
      <c r="V50" s="5">
        <f t="shared" si="35"/>
        <v>0</v>
      </c>
      <c r="W50" s="1"/>
      <c r="X50" s="1">
        <f t="shared" si="36"/>
        <v>90.47</v>
      </c>
      <c r="Y50" s="1"/>
      <c r="Z50" s="5">
        <f t="shared" si="37"/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7">
        <v>75.98</v>
      </c>
      <c r="E51" s="2"/>
      <c r="F51" s="6">
        <f t="shared" si="30"/>
        <v>6.5134689845975063E-4</v>
      </c>
      <c r="G51" s="2"/>
      <c r="H51" s="7"/>
      <c r="I51" s="2"/>
      <c r="J51" s="6">
        <f t="shared" si="31"/>
        <v>0</v>
      </c>
      <c r="K51" s="2"/>
      <c r="L51" s="7">
        <f t="shared" si="32"/>
        <v>75.98</v>
      </c>
      <c r="M51" s="2"/>
      <c r="N51" s="6">
        <f t="shared" si="33"/>
        <v>0</v>
      </c>
      <c r="O51" s="11"/>
      <c r="P51" s="7">
        <v>90.47</v>
      </c>
      <c r="Q51" s="2"/>
      <c r="R51" s="6">
        <f t="shared" si="34"/>
        <v>8.9171344211442244E-5</v>
      </c>
      <c r="S51" s="2"/>
      <c r="T51" s="7"/>
      <c r="U51" s="2"/>
      <c r="V51" s="6">
        <f t="shared" si="35"/>
        <v>0</v>
      </c>
      <c r="W51" s="2"/>
      <c r="X51" s="7">
        <f t="shared" si="36"/>
        <v>90.47</v>
      </c>
      <c r="Y51" s="2"/>
      <c r="Z51" s="6">
        <f t="shared" si="37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0</v>
      </c>
      <c r="E52" s="1"/>
      <c r="F52" s="5">
        <f t="shared" si="30"/>
        <v>0</v>
      </c>
      <c r="G52" s="1"/>
      <c r="H52" s="1">
        <f>SUM(OSRRefH22_8x_0)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SUM(OSRRefP22_8x_0)</f>
        <v>0</v>
      </c>
      <c r="Q52" s="1"/>
      <c r="R52" s="5">
        <f t="shared" si="34"/>
        <v>0</v>
      </c>
      <c r="S52" s="1"/>
      <c r="T52" s="1">
        <f>SUM(OSRRefT22_8x_0)</f>
        <v>20</v>
      </c>
      <c r="U52" s="1"/>
      <c r="V52" s="5">
        <f t="shared" si="35"/>
        <v>0</v>
      </c>
      <c r="W52" s="1"/>
      <c r="X52" s="1">
        <f t="shared" si="36"/>
        <v>-20</v>
      </c>
      <c r="Y52" s="1"/>
      <c r="Z52" s="5">
        <f t="shared" si="37"/>
        <v>-1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0"/>
        <v>0</v>
      </c>
      <c r="G53" s="2"/>
      <c r="H53" s="7"/>
      <c r="I53" s="2"/>
      <c r="J53" s="6">
        <f t="shared" si="31"/>
        <v>0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/>
      <c r="Q53" s="2"/>
      <c r="R53" s="6">
        <f t="shared" si="34"/>
        <v>0</v>
      </c>
      <c r="S53" s="2"/>
      <c r="T53" s="7">
        <v>20</v>
      </c>
      <c r="U53" s="2"/>
      <c r="V53" s="6">
        <f t="shared" si="35"/>
        <v>0</v>
      </c>
      <c r="W53" s="2"/>
      <c r="X53" s="7">
        <f t="shared" si="36"/>
        <v>-20</v>
      </c>
      <c r="Y53" s="2"/>
      <c r="Z53" s="6">
        <f t="shared" si="37"/>
        <v>-1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30"/>
        <v>0</v>
      </c>
      <c r="G54" s="1"/>
      <c r="H54" s="1">
        <f>SUM(OSRRefH22_9x_0)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4"/>
      <c r="P54" s="1">
        <f>SUM(OSRRefP22_9x_0)</f>
        <v>1767.16</v>
      </c>
      <c r="Q54" s="1"/>
      <c r="R54" s="5">
        <f t="shared" si="34"/>
        <v>1.7417932202574587E-3</v>
      </c>
      <c r="S54" s="1"/>
      <c r="T54" s="1">
        <f>SUM(OSRRefT22_9x_0)</f>
        <v>1439.55</v>
      </c>
      <c r="U54" s="1"/>
      <c r="V54" s="5">
        <f t="shared" si="35"/>
        <v>0</v>
      </c>
      <c r="W54" s="1"/>
      <c r="X54" s="1">
        <f t="shared" si="36"/>
        <v>327.61000000000013</v>
      </c>
      <c r="Y54" s="1"/>
      <c r="Z54" s="5">
        <f t="shared" si="37"/>
        <v>0.22757806258900359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0"/>
        <v>0</v>
      </c>
      <c r="G55" s="2"/>
      <c r="H55" s="7"/>
      <c r="I55" s="2"/>
      <c r="J55" s="6">
        <f t="shared" si="31"/>
        <v>0</v>
      </c>
      <c r="K55" s="2"/>
      <c r="L55" s="7">
        <f t="shared" si="32"/>
        <v>0</v>
      </c>
      <c r="M55" s="2"/>
      <c r="N55" s="6">
        <f t="shared" si="33"/>
        <v>0</v>
      </c>
      <c r="O55" s="11"/>
      <c r="P55" s="7">
        <v>1767.16</v>
      </c>
      <c r="Q55" s="2"/>
      <c r="R55" s="6">
        <f t="shared" si="34"/>
        <v>1.7417932202574587E-3</v>
      </c>
      <c r="S55" s="2"/>
      <c r="T55" s="7">
        <v>1439.55</v>
      </c>
      <c r="U55" s="2"/>
      <c r="V55" s="6">
        <f t="shared" si="35"/>
        <v>0</v>
      </c>
      <c r="W55" s="2"/>
      <c r="X55" s="7">
        <f t="shared" si="36"/>
        <v>327.61000000000013</v>
      </c>
      <c r="Y55" s="2"/>
      <c r="Z55" s="6">
        <f t="shared" si="37"/>
        <v>0.22757806258900359</v>
      </c>
    </row>
    <row r="56" spans="1:26" s="29" customFormat="1" outlineLevel="1" collapsed="1" x14ac:dyDescent="0.3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5.21</v>
      </c>
      <c r="E56" s="1"/>
      <c r="F56" s="5">
        <f t="shared" si="30"/>
        <v>4.4663297459532777E-5</v>
      </c>
      <c r="G56" s="1"/>
      <c r="H56" s="1">
        <f>SUM(OSRRefH22_10x_0)</f>
        <v>5.9</v>
      </c>
      <c r="I56" s="1"/>
      <c r="J56" s="5">
        <f t="shared" si="31"/>
        <v>0</v>
      </c>
      <c r="K56" s="1"/>
      <c r="L56" s="1">
        <f t="shared" si="32"/>
        <v>-0.69000000000000039</v>
      </c>
      <c r="M56" s="1"/>
      <c r="N56" s="5">
        <f t="shared" si="33"/>
        <v>-0.11694915254237294</v>
      </c>
      <c r="O56" s="14"/>
      <c r="P56" s="1">
        <f>SUM(OSRRefP22_10x_0)</f>
        <v>36.479999999999997</v>
      </c>
      <c r="Q56" s="1"/>
      <c r="R56" s="5">
        <f t="shared" si="34"/>
        <v>3.5956346157106362E-5</v>
      </c>
      <c r="S56" s="1"/>
      <c r="T56" s="1">
        <f>SUM(OSRRefT22_10x_0)</f>
        <v>41.3</v>
      </c>
      <c r="U56" s="1"/>
      <c r="V56" s="5">
        <f t="shared" si="35"/>
        <v>0</v>
      </c>
      <c r="W56" s="1"/>
      <c r="X56" s="1">
        <f t="shared" si="36"/>
        <v>-4.82</v>
      </c>
      <c r="Y56" s="1"/>
      <c r="Z56" s="5">
        <f t="shared" si="37"/>
        <v>-0.11670702179176758</v>
      </c>
    </row>
    <row r="57" spans="1:26" s="24" customFormat="1" hidden="1" outlineLevel="2" x14ac:dyDescent="0.3">
      <c r="A57" s="27"/>
      <c r="B57" s="11" t="str">
        <f>CONCATENATE("          ", "6314", " - ", "LIABILITY INSURANCE")</f>
        <v xml:space="preserve">          6314 - LIABILITY INSURANCE</v>
      </c>
      <c r="C57" s="11"/>
      <c r="D57" s="7">
        <v>5.21</v>
      </c>
      <c r="E57" s="2"/>
      <c r="F57" s="6">
        <f t="shared" si="30"/>
        <v>4.4663297459532777E-5</v>
      </c>
      <c r="G57" s="2"/>
      <c r="H57" s="7">
        <v>5.9</v>
      </c>
      <c r="I57" s="2"/>
      <c r="J57" s="6">
        <f t="shared" si="31"/>
        <v>0</v>
      </c>
      <c r="K57" s="2"/>
      <c r="L57" s="7">
        <f t="shared" si="32"/>
        <v>-0.69000000000000039</v>
      </c>
      <c r="M57" s="2"/>
      <c r="N57" s="6">
        <f t="shared" si="33"/>
        <v>-0.11694915254237294</v>
      </c>
      <c r="O57" s="11"/>
      <c r="P57" s="7">
        <v>36.479999999999997</v>
      </c>
      <c r="Q57" s="2"/>
      <c r="R57" s="6">
        <f t="shared" si="34"/>
        <v>3.5956346157106362E-5</v>
      </c>
      <c r="S57" s="2"/>
      <c r="T57" s="7">
        <v>41.3</v>
      </c>
      <c r="U57" s="2"/>
      <c r="V57" s="6">
        <f t="shared" si="35"/>
        <v>0</v>
      </c>
      <c r="W57" s="2"/>
      <c r="X57" s="7">
        <f t="shared" si="36"/>
        <v>-4.82</v>
      </c>
      <c r="Y57" s="2"/>
      <c r="Z57" s="6">
        <f t="shared" si="37"/>
        <v>-0.11670702179176758</v>
      </c>
    </row>
    <row r="58" spans="1:26" s="29" customFormat="1" outlineLevel="1" collapsed="1" x14ac:dyDescent="0.3">
      <c r="A58" s="28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SUM(OSRRefD22_11x_0)</f>
        <v>9236.7999999999993</v>
      </c>
      <c r="E58" s="1"/>
      <c r="F58" s="5">
        <f t="shared" si="30"/>
        <v>7.9183482912516756E-2</v>
      </c>
      <c r="G58" s="1"/>
      <c r="H58" s="1">
        <f>SUM(OSRRefH22_11x_0)</f>
        <v>0</v>
      </c>
      <c r="I58" s="1"/>
      <c r="J58" s="5">
        <f t="shared" si="31"/>
        <v>0</v>
      </c>
      <c r="K58" s="1"/>
      <c r="L58" s="1">
        <f t="shared" si="32"/>
        <v>9236.7999999999993</v>
      </c>
      <c r="M58" s="1"/>
      <c r="N58" s="5">
        <f t="shared" si="33"/>
        <v>0</v>
      </c>
      <c r="O58" s="14"/>
      <c r="P58" s="1">
        <f>SUM(OSRRefP22_11x_0)</f>
        <v>76965.279999999999</v>
      </c>
      <c r="Q58" s="1"/>
      <c r="R58" s="5">
        <f t="shared" si="34"/>
        <v>7.586047833768135E-2</v>
      </c>
      <c r="S58" s="1"/>
      <c r="T58" s="1">
        <f>SUM(OSRRefT22_11x_0)</f>
        <v>0</v>
      </c>
      <c r="U58" s="1"/>
      <c r="V58" s="5">
        <f t="shared" si="35"/>
        <v>0</v>
      </c>
      <c r="W58" s="1"/>
      <c r="X58" s="1">
        <f t="shared" si="36"/>
        <v>76965.279999999999</v>
      </c>
      <c r="Y58" s="1"/>
      <c r="Z58" s="5">
        <f t="shared" si="37"/>
        <v>0</v>
      </c>
    </row>
    <row r="59" spans="1:26" s="24" customFormat="1" hidden="1" outlineLevel="2" x14ac:dyDescent="0.3">
      <c r="A59" s="27"/>
      <c r="B59" s="11" t="str">
        <f>CONCATENATE("          ", "6387", " - ", "COMMISSION DUE HOUSING")</f>
        <v xml:space="preserve">          6387 - COMMISSION DUE HOUSING</v>
      </c>
      <c r="C59" s="11"/>
      <c r="D59" s="7">
        <v>9236.7999999999993</v>
      </c>
      <c r="E59" s="2"/>
      <c r="F59" s="6">
        <f t="shared" si="30"/>
        <v>7.9183482912516756E-2</v>
      </c>
      <c r="G59" s="2"/>
      <c r="H59" s="7"/>
      <c r="I59" s="2"/>
      <c r="J59" s="6">
        <f t="shared" si="31"/>
        <v>0</v>
      </c>
      <c r="K59" s="2"/>
      <c r="L59" s="7">
        <f t="shared" si="32"/>
        <v>9236.7999999999993</v>
      </c>
      <c r="M59" s="2"/>
      <c r="N59" s="6">
        <f t="shared" si="33"/>
        <v>0</v>
      </c>
      <c r="O59" s="11"/>
      <c r="P59" s="7">
        <v>76965.279999999999</v>
      </c>
      <c r="Q59" s="2"/>
      <c r="R59" s="6">
        <f t="shared" si="34"/>
        <v>7.586047833768135E-2</v>
      </c>
      <c r="S59" s="2"/>
      <c r="T59" s="7"/>
      <c r="U59" s="2"/>
      <c r="V59" s="6">
        <f t="shared" si="35"/>
        <v>0</v>
      </c>
      <c r="W59" s="2"/>
      <c r="X59" s="7">
        <f t="shared" si="36"/>
        <v>76965.279999999999</v>
      </c>
      <c r="Y59" s="2"/>
      <c r="Z59" s="6">
        <f t="shared" si="37"/>
        <v>0</v>
      </c>
    </row>
    <row r="60" spans="1:26" s="29" customFormat="1" outlineLevel="1" collapsed="1" x14ac:dyDescent="0.3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0</v>
      </c>
      <c r="E60" s="1"/>
      <c r="F60" s="5">
        <f t="shared" si="30"/>
        <v>0</v>
      </c>
      <c r="G60" s="1"/>
      <c r="H60" s="1">
        <f>SUM(OSRRefH22_12x_0)</f>
        <v>0</v>
      </c>
      <c r="I60" s="1"/>
      <c r="J60" s="5">
        <f t="shared" si="31"/>
        <v>0</v>
      </c>
      <c r="K60" s="1"/>
      <c r="L60" s="1">
        <f t="shared" si="32"/>
        <v>0</v>
      </c>
      <c r="M60" s="1"/>
      <c r="N60" s="5">
        <f t="shared" si="33"/>
        <v>0</v>
      </c>
      <c r="O60" s="14"/>
      <c r="P60" s="1">
        <f>SUM(OSRRefP22_12x_0)</f>
        <v>836.76</v>
      </c>
      <c r="Q60" s="1"/>
      <c r="R60" s="5">
        <f t="shared" si="34"/>
        <v>8.2474868997862722E-4</v>
      </c>
      <c r="S60" s="1"/>
      <c r="T60" s="1">
        <f>SUM(OSRRefT22_12x_0)</f>
        <v>144.66999999999999</v>
      </c>
      <c r="U60" s="1"/>
      <c r="V60" s="5">
        <f t="shared" si="35"/>
        <v>0</v>
      </c>
      <c r="W60" s="1"/>
      <c r="X60" s="1">
        <f t="shared" si="36"/>
        <v>692.09</v>
      </c>
      <c r="Y60" s="1"/>
      <c r="Z60" s="5">
        <f t="shared" si="37"/>
        <v>4.7839220294463267</v>
      </c>
    </row>
    <row r="61" spans="1:26" s="24" customFormat="1" hidden="1" outlineLevel="2" x14ac:dyDescent="0.3">
      <c r="A61" s="27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30"/>
        <v>0</v>
      </c>
      <c r="G61" s="2"/>
      <c r="H61" s="7"/>
      <c r="I61" s="2"/>
      <c r="J61" s="6">
        <f t="shared" si="31"/>
        <v>0</v>
      </c>
      <c r="K61" s="2"/>
      <c r="L61" s="7">
        <f t="shared" si="32"/>
        <v>0</v>
      </c>
      <c r="M61" s="2"/>
      <c r="N61" s="6">
        <f t="shared" si="33"/>
        <v>0</v>
      </c>
      <c r="O61" s="11"/>
      <c r="P61" s="7">
        <v>146.76</v>
      </c>
      <c r="Q61" s="2"/>
      <c r="R61" s="6">
        <f t="shared" si="34"/>
        <v>1.446533268096746E-4</v>
      </c>
      <c r="S61" s="2"/>
      <c r="T61" s="7">
        <v>144.66999999999999</v>
      </c>
      <c r="U61" s="2"/>
      <c r="V61" s="6">
        <f t="shared" si="35"/>
        <v>0</v>
      </c>
      <c r="W61" s="2"/>
      <c r="X61" s="7">
        <f t="shared" si="36"/>
        <v>2.0900000000000034</v>
      </c>
      <c r="Y61" s="2"/>
      <c r="Z61" s="6">
        <f t="shared" si="37"/>
        <v>1.4446671735674318E-2</v>
      </c>
    </row>
    <row r="62" spans="1:26" s="24" customFormat="1" hidden="1" outlineLevel="2" x14ac:dyDescent="0.3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30"/>
        <v>0</v>
      </c>
      <c r="G62" s="2"/>
      <c r="H62" s="7"/>
      <c r="I62" s="2"/>
      <c r="J62" s="6">
        <f t="shared" si="31"/>
        <v>0</v>
      </c>
      <c r="K62" s="2"/>
      <c r="L62" s="7">
        <f t="shared" si="32"/>
        <v>0</v>
      </c>
      <c r="M62" s="2"/>
      <c r="N62" s="6">
        <f t="shared" si="33"/>
        <v>0</v>
      </c>
      <c r="O62" s="11"/>
      <c r="P62" s="7">
        <v>690</v>
      </c>
      <c r="Q62" s="2"/>
      <c r="R62" s="6">
        <f t="shared" si="34"/>
        <v>6.8009536316895262E-4</v>
      </c>
      <c r="S62" s="2"/>
      <c r="T62" s="7"/>
      <c r="U62" s="2"/>
      <c r="V62" s="6">
        <f t="shared" si="35"/>
        <v>0</v>
      </c>
      <c r="W62" s="2"/>
      <c r="X62" s="7">
        <f t="shared" si="36"/>
        <v>690</v>
      </c>
      <c r="Y62" s="2"/>
      <c r="Z62" s="6">
        <f t="shared" si="37"/>
        <v>0</v>
      </c>
    </row>
    <row r="63" spans="1:26" s="29" customFormat="1" outlineLevel="1" collapsed="1" x14ac:dyDescent="0.3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4364.3100000000004</v>
      </c>
      <c r="E63" s="1"/>
      <c r="F63" s="5">
        <f t="shared" ref="F63:F66" si="38">IF(D$12=0,0,D63/D$12)</f>
        <v>3.7413527012593761E-2</v>
      </c>
      <c r="G63" s="1"/>
      <c r="H63" s="1">
        <f>SUM(OSRRefH22_13x_0)</f>
        <v>1937.15</v>
      </c>
      <c r="I63" s="1"/>
      <c r="J63" s="5">
        <f t="shared" ref="J63:J66" si="39">IF(H$12=0,0,H63/H$12)</f>
        <v>0</v>
      </c>
      <c r="K63" s="1"/>
      <c r="L63" s="1">
        <f t="shared" ref="L63:L66" si="40">+D63-H63</f>
        <v>2427.1600000000003</v>
      </c>
      <c r="M63" s="1"/>
      <c r="N63" s="5">
        <f t="shared" ref="N63:N66" si="41">IF(H63=0,0,L63/H63)</f>
        <v>1.2529540820277212</v>
      </c>
      <c r="O63" s="14"/>
      <c r="P63" s="1">
        <f>SUM(OSRRefP22_13x_0)</f>
        <v>31405.280000000002</v>
      </c>
      <c r="Q63" s="1"/>
      <c r="R63" s="5">
        <f t="shared" ref="R63:R66" si="42">IF(P$12=0,0,P63/P$12)</f>
        <v>3.0954471459453112E-2</v>
      </c>
      <c r="S63" s="1"/>
      <c r="T63" s="1">
        <f>SUM(OSRRefT22_13x_0)</f>
        <v>4687.4800000000005</v>
      </c>
      <c r="U63" s="1"/>
      <c r="V63" s="5">
        <f t="shared" ref="V63:V66" si="43">IF(T$12=0,0,T63/T$12)</f>
        <v>0</v>
      </c>
      <c r="W63" s="1"/>
      <c r="X63" s="1">
        <f t="shared" ref="X63:X66" si="44">+P63-T63</f>
        <v>26717.800000000003</v>
      </c>
      <c r="Y63" s="1"/>
      <c r="Z63" s="5">
        <f t="shared" ref="Z63:Z66" si="45">IF(T63=0,0,X63/T63)</f>
        <v>5.6998216525723846</v>
      </c>
    </row>
    <row r="64" spans="1:26" s="24" customFormat="1" hidden="1" outlineLevel="2" x14ac:dyDescent="0.3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38"/>
        <v>0</v>
      </c>
      <c r="G64" s="2"/>
      <c r="H64" s="7">
        <v>1937.15</v>
      </c>
      <c r="I64" s="2"/>
      <c r="J64" s="6">
        <f t="shared" si="39"/>
        <v>0</v>
      </c>
      <c r="K64" s="2"/>
      <c r="L64" s="7">
        <f t="shared" si="40"/>
        <v>-1937.15</v>
      </c>
      <c r="M64" s="2"/>
      <c r="N64" s="6">
        <f t="shared" si="41"/>
        <v>-1</v>
      </c>
      <c r="O64" s="11"/>
      <c r="P64" s="7">
        <v>3688.65</v>
      </c>
      <c r="Q64" s="2"/>
      <c r="R64" s="6">
        <f t="shared" si="42"/>
        <v>3.635701103410373E-3</v>
      </c>
      <c r="S64" s="2"/>
      <c r="T64" s="7">
        <v>4089.61</v>
      </c>
      <c r="U64" s="2"/>
      <c r="V64" s="6">
        <f t="shared" si="43"/>
        <v>0</v>
      </c>
      <c r="W64" s="2"/>
      <c r="X64" s="7">
        <f t="shared" si="44"/>
        <v>-400.96000000000004</v>
      </c>
      <c r="Y64" s="2"/>
      <c r="Z64" s="6">
        <f t="shared" si="45"/>
        <v>-9.8043578727555938E-2</v>
      </c>
    </row>
    <row r="65" spans="1:26" s="24" customFormat="1" hidden="1" outlineLevel="2" x14ac:dyDescent="0.3">
      <c r="A65" s="27"/>
      <c r="B65" s="11" t="str">
        <f>CONCATENATE("          ", "6285", " - ", "JANITORIAL SERVICES")</f>
        <v xml:space="preserve">          6285 - JANITORIAL SERVICES</v>
      </c>
      <c r="C65" s="11"/>
      <c r="D65" s="7">
        <v>4364.3100000000004</v>
      </c>
      <c r="E65" s="2"/>
      <c r="F65" s="6">
        <f t="shared" si="38"/>
        <v>3.7413527012593761E-2</v>
      </c>
      <c r="G65" s="2"/>
      <c r="H65" s="7"/>
      <c r="I65" s="2"/>
      <c r="J65" s="6">
        <f t="shared" si="39"/>
        <v>0</v>
      </c>
      <c r="K65" s="2"/>
      <c r="L65" s="7">
        <f t="shared" si="40"/>
        <v>4364.3100000000004</v>
      </c>
      <c r="M65" s="2"/>
      <c r="N65" s="6">
        <f t="shared" si="41"/>
        <v>0</v>
      </c>
      <c r="O65" s="11"/>
      <c r="P65" s="7">
        <v>20912.79</v>
      </c>
      <c r="Q65" s="2"/>
      <c r="R65" s="6">
        <f t="shared" si="42"/>
        <v>2.0612596391197162E-2</v>
      </c>
      <c r="S65" s="2"/>
      <c r="T65" s="7"/>
      <c r="U65" s="2"/>
      <c r="V65" s="6">
        <f t="shared" si="43"/>
        <v>0</v>
      </c>
      <c r="W65" s="2"/>
      <c r="X65" s="7">
        <f t="shared" si="44"/>
        <v>20912.79</v>
      </c>
      <c r="Y65" s="2"/>
      <c r="Z65" s="6">
        <f t="shared" si="45"/>
        <v>0</v>
      </c>
    </row>
    <row r="66" spans="1:26" s="24" customFormat="1" hidden="1" outlineLevel="2" x14ac:dyDescent="0.3">
      <c r="A66" s="27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0</v>
      </c>
      <c r="M66" s="2"/>
      <c r="N66" s="6">
        <f t="shared" si="41"/>
        <v>0</v>
      </c>
      <c r="O66" s="11"/>
      <c r="P66" s="7">
        <v>6803.84</v>
      </c>
      <c r="Q66" s="2"/>
      <c r="R66" s="6">
        <f t="shared" si="42"/>
        <v>6.7061739648455751E-3</v>
      </c>
      <c r="S66" s="2"/>
      <c r="T66" s="7">
        <v>597.87</v>
      </c>
      <c r="U66" s="2"/>
      <c r="V66" s="6">
        <f t="shared" si="43"/>
        <v>0</v>
      </c>
      <c r="W66" s="2"/>
      <c r="X66" s="7">
        <f t="shared" si="44"/>
        <v>6205.97</v>
      </c>
      <c r="Y66" s="2"/>
      <c r="Z66" s="6">
        <f t="shared" si="45"/>
        <v>10.380132804790339</v>
      </c>
    </row>
    <row r="67" spans="1:26" s="29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159.6</v>
      </c>
      <c r="E67" s="1"/>
      <c r="F67" s="5">
        <f t="shared" ref="F67:F73" si="46">IF(D$12=0,0,D67/D$12)</f>
        <v>1.368188536380313E-3</v>
      </c>
      <c r="G67" s="1"/>
      <c r="H67" s="1">
        <f>SUM(OSRRefH22_14x_0)</f>
        <v>0</v>
      </c>
      <c r="I67" s="1"/>
      <c r="J67" s="5">
        <f t="shared" ref="J67:J73" si="47">IF(H$12=0,0,H67/H$12)</f>
        <v>0</v>
      </c>
      <c r="K67" s="1"/>
      <c r="L67" s="1">
        <f t="shared" ref="L67:L73" si="48">+D67-H67</f>
        <v>159.6</v>
      </c>
      <c r="M67" s="1"/>
      <c r="N67" s="5">
        <f t="shared" ref="N67:N73" si="49">IF(H67=0,0,L67/H67)</f>
        <v>0</v>
      </c>
      <c r="O67" s="14"/>
      <c r="P67" s="1">
        <f>SUM(OSRRefP22_14x_0)</f>
        <v>60404.909999999996</v>
      </c>
      <c r="Q67" s="1"/>
      <c r="R67" s="5">
        <f t="shared" ref="R67:R73" si="50">IF(P$12=0,0,P67/P$12)</f>
        <v>5.9537824932808549E-2</v>
      </c>
      <c r="S67" s="1"/>
      <c r="T67" s="1">
        <f>SUM(OSRRefT22_14x_0)</f>
        <v>57.16</v>
      </c>
      <c r="U67" s="1"/>
      <c r="V67" s="5">
        <f t="shared" ref="V67:V73" si="51">IF(T$12=0,0,T67/T$12)</f>
        <v>0</v>
      </c>
      <c r="W67" s="1"/>
      <c r="X67" s="1">
        <f t="shared" ref="X67:X73" si="52">+P67-T67</f>
        <v>60347.749999999993</v>
      </c>
      <c r="Y67" s="1"/>
      <c r="Z67" s="5">
        <f t="shared" ref="Z67:Z73" si="53">IF(T67=0,0,X67/T67)</f>
        <v>1055.7688943317005</v>
      </c>
    </row>
    <row r="68" spans="1:26" s="24" customFormat="1" hidden="1" outlineLevel="2" x14ac:dyDescent="0.3">
      <c r="A68" s="27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>
        <v>8822.8799999999992</v>
      </c>
      <c r="Q68" s="2"/>
      <c r="R68" s="6">
        <f t="shared" si="50"/>
        <v>8.6962315620233172E-3</v>
      </c>
      <c r="S68" s="2"/>
      <c r="T68" s="7"/>
      <c r="U68" s="2"/>
      <c r="V68" s="6">
        <f t="shared" si="51"/>
        <v>0</v>
      </c>
      <c r="W68" s="2"/>
      <c r="X68" s="7">
        <f t="shared" si="52"/>
        <v>8822.8799999999992</v>
      </c>
      <c r="Y68" s="2"/>
      <c r="Z68" s="6">
        <f t="shared" si="53"/>
        <v>0</v>
      </c>
    </row>
    <row r="69" spans="1:26" s="24" customFormat="1" hidden="1" outlineLevel="2" x14ac:dyDescent="0.3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>
        <v>9096.75</v>
      </c>
      <c r="Q69" s="2"/>
      <c r="R69" s="6">
        <f t="shared" si="50"/>
        <v>8.9661702824741594E-3</v>
      </c>
      <c r="S69" s="2"/>
      <c r="T69" s="7"/>
      <c r="U69" s="2"/>
      <c r="V69" s="6">
        <f t="shared" si="51"/>
        <v>0</v>
      </c>
      <c r="W69" s="2"/>
      <c r="X69" s="7">
        <f t="shared" si="52"/>
        <v>9096.75</v>
      </c>
      <c r="Y69" s="2"/>
      <c r="Z69" s="6">
        <f t="shared" si="53"/>
        <v>0</v>
      </c>
    </row>
    <row r="70" spans="1:26" s="24" customFormat="1" hidden="1" outlineLevel="2" x14ac:dyDescent="0.3">
      <c r="A70" s="27"/>
      <c r="B70" s="11" t="str">
        <f>CONCATENATE("          ", "6241", " - ", "OFFICE EXPENSE")</f>
        <v xml:space="preserve">          6241 - OFFICE EXPENSE</v>
      </c>
      <c r="C70" s="11"/>
      <c r="D70" s="7">
        <v>159.6</v>
      </c>
      <c r="E70" s="2"/>
      <c r="F70" s="6">
        <f t="shared" si="46"/>
        <v>1.368188536380313E-3</v>
      </c>
      <c r="G70" s="2"/>
      <c r="H70" s="7"/>
      <c r="I70" s="2"/>
      <c r="J70" s="6">
        <f t="shared" si="47"/>
        <v>0</v>
      </c>
      <c r="K70" s="2"/>
      <c r="L70" s="7">
        <f t="shared" si="48"/>
        <v>159.6</v>
      </c>
      <c r="M70" s="2"/>
      <c r="N70" s="6">
        <f t="shared" si="49"/>
        <v>0</v>
      </c>
      <c r="O70" s="11"/>
      <c r="P70" s="7">
        <v>4933.72</v>
      </c>
      <c r="Q70" s="2"/>
      <c r="R70" s="6">
        <f t="shared" si="50"/>
        <v>4.8628986886578626E-3</v>
      </c>
      <c r="S70" s="2"/>
      <c r="T70" s="7">
        <v>57.16</v>
      </c>
      <c r="U70" s="2"/>
      <c r="V70" s="6">
        <f t="shared" si="51"/>
        <v>0</v>
      </c>
      <c r="W70" s="2"/>
      <c r="X70" s="7">
        <f t="shared" si="52"/>
        <v>4876.5600000000004</v>
      </c>
      <c r="Y70" s="2"/>
      <c r="Z70" s="6">
        <f t="shared" si="53"/>
        <v>85.314205738278531</v>
      </c>
    </row>
    <row r="71" spans="1:26" s="24" customFormat="1" hidden="1" outlineLevel="2" x14ac:dyDescent="0.3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>
        <v>35028.519999999997</v>
      </c>
      <c r="Q71" s="2"/>
      <c r="R71" s="6">
        <f t="shared" si="50"/>
        <v>3.4525701493725969E-2</v>
      </c>
      <c r="S71" s="2"/>
      <c r="T71" s="7"/>
      <c r="U71" s="2"/>
      <c r="V71" s="6">
        <f t="shared" si="51"/>
        <v>0</v>
      </c>
      <c r="W71" s="2"/>
      <c r="X71" s="7">
        <f t="shared" si="52"/>
        <v>35028.519999999997</v>
      </c>
      <c r="Y71" s="2"/>
      <c r="Z71" s="6">
        <f t="shared" si="53"/>
        <v>0</v>
      </c>
    </row>
    <row r="72" spans="1:26" s="24" customFormat="1" hidden="1" outlineLevel="2" x14ac:dyDescent="0.3">
      <c r="A72" s="27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6"/>
        <v>0</v>
      </c>
      <c r="G72" s="2"/>
      <c r="H72" s="7"/>
      <c r="I72" s="2"/>
      <c r="J72" s="6">
        <f t="shared" si="47"/>
        <v>0</v>
      </c>
      <c r="K72" s="2"/>
      <c r="L72" s="7">
        <f t="shared" si="48"/>
        <v>0</v>
      </c>
      <c r="M72" s="2"/>
      <c r="N72" s="6">
        <f t="shared" si="49"/>
        <v>0</v>
      </c>
      <c r="O72" s="11"/>
      <c r="P72" s="7">
        <v>652.62</v>
      </c>
      <c r="Q72" s="2"/>
      <c r="R72" s="6">
        <f t="shared" si="50"/>
        <v>6.4325193610336503E-4</v>
      </c>
      <c r="S72" s="2"/>
      <c r="T72" s="7"/>
      <c r="U72" s="2"/>
      <c r="V72" s="6">
        <f t="shared" si="51"/>
        <v>0</v>
      </c>
      <c r="W72" s="2"/>
      <c r="X72" s="7">
        <f t="shared" si="52"/>
        <v>652.62</v>
      </c>
      <c r="Y72" s="2"/>
      <c r="Z72" s="6">
        <f t="shared" si="53"/>
        <v>0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6"/>
        <v>0</v>
      </c>
      <c r="G73" s="2"/>
      <c r="H73" s="7"/>
      <c r="I73" s="2"/>
      <c r="J73" s="6">
        <f t="shared" si="47"/>
        <v>0</v>
      </c>
      <c r="K73" s="2"/>
      <c r="L73" s="7">
        <f t="shared" si="48"/>
        <v>0</v>
      </c>
      <c r="M73" s="2"/>
      <c r="N73" s="6">
        <f t="shared" si="49"/>
        <v>0</v>
      </c>
      <c r="O73" s="11"/>
      <c r="P73" s="7">
        <v>1870.42</v>
      </c>
      <c r="Q73" s="2"/>
      <c r="R73" s="6">
        <f t="shared" si="50"/>
        <v>1.8435709698238732E-3</v>
      </c>
      <c r="S73" s="2"/>
      <c r="T73" s="7"/>
      <c r="U73" s="2"/>
      <c r="V73" s="6">
        <f t="shared" si="51"/>
        <v>0</v>
      </c>
      <c r="W73" s="2"/>
      <c r="X73" s="7">
        <f t="shared" si="52"/>
        <v>1870.42</v>
      </c>
      <c r="Y73" s="2"/>
      <c r="Z73" s="6">
        <f t="shared" si="53"/>
        <v>0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186</v>
      </c>
      <c r="E74" s="1"/>
      <c r="F74" s="5">
        <f t="shared" ref="F74:F77" si="54">IF(D$12=0,0,D74/D$12)</f>
        <v>1.5945054371349513E-3</v>
      </c>
      <c r="G74" s="1"/>
      <c r="H74" s="1">
        <f>SUM(OSRRefH22_15x_0)</f>
        <v>0</v>
      </c>
      <c r="I74" s="1"/>
      <c r="J74" s="5">
        <f t="shared" ref="J74:J77" si="55">IF(H$12=0,0,H74/H$12)</f>
        <v>0</v>
      </c>
      <c r="K74" s="1"/>
      <c r="L74" s="1">
        <f t="shared" ref="L74:L77" si="56">+D74-H74</f>
        <v>186</v>
      </c>
      <c r="M74" s="1"/>
      <c r="N74" s="5">
        <f t="shared" ref="N74:N77" si="57">IF(H74=0,0,L74/H74)</f>
        <v>0</v>
      </c>
      <c r="O74" s="14"/>
      <c r="P74" s="1">
        <f>SUM(OSRRefP22_15x_0)</f>
        <v>992.85</v>
      </c>
      <c r="Q74" s="1"/>
      <c r="R74" s="5">
        <f t="shared" ref="R74:R77" si="58">IF(P$12=0,0,P74/P$12)</f>
        <v>9.7859808887289083E-4</v>
      </c>
      <c r="S74" s="1"/>
      <c r="T74" s="1">
        <f>SUM(OSRRefT22_15x_0)</f>
        <v>579.63</v>
      </c>
      <c r="U74" s="1"/>
      <c r="V74" s="5">
        <f t="shared" ref="V74:V77" si="59">IF(T$12=0,0,T74/T$12)</f>
        <v>0</v>
      </c>
      <c r="W74" s="1"/>
      <c r="X74" s="1">
        <f t="shared" ref="X74:X77" si="60">+P74-T74</f>
        <v>413.22</v>
      </c>
      <c r="Y74" s="1"/>
      <c r="Z74" s="5">
        <f t="shared" ref="Z74:Z77" si="61">IF(T74=0,0,X74/T74)</f>
        <v>0.71290305884788574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7">
        <v>186</v>
      </c>
      <c r="E75" s="2"/>
      <c r="F75" s="6">
        <f t="shared" si="54"/>
        <v>1.5945054371349513E-3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186</v>
      </c>
      <c r="M75" s="2"/>
      <c r="N75" s="6">
        <f t="shared" si="57"/>
        <v>0</v>
      </c>
      <c r="O75" s="11"/>
      <c r="P75" s="7">
        <v>992.85</v>
      </c>
      <c r="Q75" s="2"/>
      <c r="R75" s="6">
        <f t="shared" si="58"/>
        <v>9.7859808887289083E-4</v>
      </c>
      <c r="S75" s="2"/>
      <c r="T75" s="7">
        <v>579.63</v>
      </c>
      <c r="U75" s="2"/>
      <c r="V75" s="6">
        <f t="shared" si="59"/>
        <v>0</v>
      </c>
      <c r="W75" s="2"/>
      <c r="X75" s="7">
        <f t="shared" si="60"/>
        <v>413.22</v>
      </c>
      <c r="Y75" s="2"/>
      <c r="Z75" s="6">
        <f t="shared" si="61"/>
        <v>0.71290305884788574</v>
      </c>
    </row>
    <row r="76" spans="1:26" s="29" customFormat="1" outlineLevel="1" collapsed="1" x14ac:dyDescent="0.3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SUM(OSRRefD22_16x_0)</f>
        <v>0</v>
      </c>
      <c r="E76" s="1"/>
      <c r="F76" s="5">
        <f t="shared" si="54"/>
        <v>0</v>
      </c>
      <c r="G76" s="1"/>
      <c r="H76" s="1">
        <f>SUM(OSRRefH22_16x_0)</f>
        <v>0</v>
      </c>
      <c r="I76" s="1"/>
      <c r="J76" s="5">
        <f t="shared" si="55"/>
        <v>0</v>
      </c>
      <c r="K76" s="1"/>
      <c r="L76" s="1">
        <f t="shared" si="56"/>
        <v>0</v>
      </c>
      <c r="M76" s="1"/>
      <c r="N76" s="5">
        <f t="shared" si="57"/>
        <v>0</v>
      </c>
      <c r="O76" s="14"/>
      <c r="P76" s="1">
        <f>SUM(OSRRefP22_16x_0)</f>
        <v>104.02</v>
      </c>
      <c r="Q76" s="1"/>
      <c r="R76" s="5">
        <f t="shared" si="58"/>
        <v>1.0252684011135428E-4</v>
      </c>
      <c r="S76" s="1"/>
      <c r="T76" s="1">
        <f>SUM(OSRRefT22_16x_0)</f>
        <v>0</v>
      </c>
      <c r="U76" s="1"/>
      <c r="V76" s="5">
        <f t="shared" si="59"/>
        <v>0</v>
      </c>
      <c r="W76" s="1"/>
      <c r="X76" s="1">
        <f t="shared" si="60"/>
        <v>104.02</v>
      </c>
      <c r="Y76" s="1"/>
      <c r="Z76" s="5">
        <f t="shared" si="61"/>
        <v>0</v>
      </c>
    </row>
    <row r="77" spans="1:26" s="24" customFormat="1" hidden="1" outlineLevel="2" x14ac:dyDescent="0.3">
      <c r="A77" s="27"/>
      <c r="B77" s="11" t="str">
        <f>CONCATENATE("          ", "6298", " - ", "VEHICLE MILEAGE")</f>
        <v xml:space="preserve">          6298 - VEHICLE MILEAGE</v>
      </c>
      <c r="C77" s="11"/>
      <c r="D77" s="7"/>
      <c r="E77" s="2"/>
      <c r="F77" s="6">
        <f t="shared" si="54"/>
        <v>0</v>
      </c>
      <c r="G77" s="2"/>
      <c r="H77" s="7"/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>
        <v>104.02</v>
      </c>
      <c r="Q77" s="2"/>
      <c r="R77" s="6">
        <f t="shared" si="58"/>
        <v>1.0252684011135428E-4</v>
      </c>
      <c r="S77" s="2"/>
      <c r="T77" s="7"/>
      <c r="U77" s="2"/>
      <c r="V77" s="6">
        <f t="shared" si="59"/>
        <v>0</v>
      </c>
      <c r="W77" s="2"/>
      <c r="X77" s="7">
        <f t="shared" si="60"/>
        <v>104.02</v>
      </c>
      <c r="Y77" s="2"/>
      <c r="Z77" s="6">
        <f t="shared" si="61"/>
        <v>0</v>
      </c>
    </row>
    <row r="78" spans="1:26" s="52" customFormat="1" x14ac:dyDescent="0.3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3">
      <c r="A79" s="10"/>
      <c r="B79" s="26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+D21-D23+D79</f>
        <v>12069.779999999999</v>
      </c>
      <c r="E81" s="13"/>
      <c r="F81" s="22">
        <f>IF(D$12=0,0,D81/D$12)</f>
        <v>0.10346951524205748</v>
      </c>
      <c r="G81" s="13"/>
      <c r="H81" s="21">
        <f>+H21-H23+H79</f>
        <v>-41216.369999999995</v>
      </c>
      <c r="I81" s="13"/>
      <c r="J81" s="22">
        <f>IF(H$12=0,0,H81/H$12)</f>
        <v>0</v>
      </c>
      <c r="K81" s="15"/>
      <c r="L81" s="21">
        <f>+D81-H81</f>
        <v>53286.149999999994</v>
      </c>
      <c r="M81" s="15"/>
      <c r="N81" s="22">
        <f>IF(H81=0,0,L81/H81)</f>
        <v>-1.2928394713071529</v>
      </c>
      <c r="O81" s="26"/>
      <c r="P81" s="21">
        <f>+P21-P23+P79</f>
        <v>6247.5999999998603</v>
      </c>
      <c r="Q81" s="13"/>
      <c r="R81" s="22">
        <f>IF(P$12=0,0,P81/P$12)</f>
        <v>6.1579185375858752E-3</v>
      </c>
      <c r="S81" s="13"/>
      <c r="T81" s="21">
        <f>+T21-T23+T79</f>
        <v>-290086.99999999988</v>
      </c>
      <c r="U81" s="13"/>
      <c r="V81" s="22">
        <f>IF(T$12=0,0,T81/T$12)</f>
        <v>0</v>
      </c>
      <c r="W81" s="15"/>
      <c r="X81" s="21">
        <f>+P81-T81</f>
        <v>296334.59999999974</v>
      </c>
      <c r="Y81" s="15"/>
      <c r="Z81" s="22">
        <f>IF(T81=0,0,X81/T81)</f>
        <v>-1.0215369871797078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26212.63</v>
      </c>
      <c r="E83" s="4"/>
      <c r="F83" s="12">
        <f>IF(D$12=0,0,D83/D$12)</f>
        <v>0.22471065084197173</v>
      </c>
      <c r="G83" s="4"/>
      <c r="H83" s="4"/>
      <c r="I83" s="4"/>
      <c r="J83" s="12">
        <f>IF(H$12=0,0,H83/H$12)</f>
        <v>0</v>
      </c>
      <c r="K83" s="4"/>
      <c r="L83" s="4">
        <f>+D83-H83</f>
        <v>26212.63</v>
      </c>
      <c r="M83" s="4"/>
      <c r="N83" s="12">
        <f>IF(H83=0,0,L83/H83)</f>
        <v>0</v>
      </c>
      <c r="O83" s="10"/>
      <c r="P83" s="4">
        <v>134295.14000000001</v>
      </c>
      <c r="Q83" s="4"/>
      <c r="R83" s="12">
        <f>IF(P$12=0,0,P83/P$12)</f>
        <v>0.13236739421757296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134295.14000000001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6">
        <f>+D81-D83</f>
        <v>-14142.850000000002</v>
      </c>
      <c r="E85" s="13"/>
      <c r="F85" s="31">
        <f>IF(D$12=0,0,D85/D$12)</f>
        <v>-0.12124113559991424</v>
      </c>
      <c r="G85" s="13"/>
      <c r="H85" s="36">
        <f>+H81-H83</f>
        <v>-41216.369999999995</v>
      </c>
      <c r="I85" s="13"/>
      <c r="J85" s="31">
        <f>IF(H$12=0,0,H85/H$12)</f>
        <v>0</v>
      </c>
      <c r="K85" s="15"/>
      <c r="L85" s="36">
        <f>D85-H85</f>
        <v>27073.519999999993</v>
      </c>
      <c r="M85" s="15"/>
      <c r="N85" s="31">
        <f>IF(H85=0,0,L85/H85)</f>
        <v>-0.65686328029372787</v>
      </c>
      <c r="O85" s="26"/>
      <c r="P85" s="36">
        <f>+P81-P83</f>
        <v>-128047.54000000015</v>
      </c>
      <c r="Q85" s="13"/>
      <c r="R85" s="31">
        <f>IF(P$12=0,0,P85/P$12)</f>
        <v>-0.12620947567998711</v>
      </c>
      <c r="S85" s="13"/>
      <c r="T85" s="36">
        <f>+T81-T83</f>
        <v>-290086.99999999988</v>
      </c>
      <c r="U85" s="13"/>
      <c r="V85" s="31">
        <f>IF(T$12=0,0,T85/T$12)</f>
        <v>0</v>
      </c>
      <c r="W85" s="15"/>
      <c r="X85" s="36">
        <f>P85-T85</f>
        <v>162039.45999999973</v>
      </c>
      <c r="Y85" s="15"/>
      <c r="Z85" s="31">
        <f>IF(T85=0,0,X85/T85)</f>
        <v>-0.55858918186612916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5">
        <f>SUM(D85:D87)</f>
        <v>-14142.850000000002</v>
      </c>
      <c r="E88" s="13"/>
      <c r="F88" s="32">
        <f>IF(D$12=0,0,D88/D$12)</f>
        <v>-0.12124113559991424</v>
      </c>
      <c r="G88" s="13"/>
      <c r="H88" s="35">
        <f>SUM(H85:H87)</f>
        <v>-41216.369999999995</v>
      </c>
      <c r="I88" s="13"/>
      <c r="J88" s="32">
        <f>IF(H$12=0,0,H88/H$12)</f>
        <v>0</v>
      </c>
      <c r="K88" s="15"/>
      <c r="L88" s="35">
        <f>+D88-H88</f>
        <v>27073.519999999993</v>
      </c>
      <c r="M88" s="15"/>
      <c r="N88" s="32">
        <f>IF(H88=0,0,L88/H88)</f>
        <v>-0.65686328029372787</v>
      </c>
      <c r="O88" s="26"/>
      <c r="P88" s="35">
        <f>SUM(P85:P87)</f>
        <v>-128047.54000000015</v>
      </c>
      <c r="Q88" s="13"/>
      <c r="R88" s="32">
        <f>IF(P$12=0,0,P88/P$12)</f>
        <v>-0.12620947567998711</v>
      </c>
      <c r="S88" s="13"/>
      <c r="T88" s="35">
        <f>SUM(T85:T87)</f>
        <v>-290086.99999999988</v>
      </c>
      <c r="U88" s="13"/>
      <c r="V88" s="32">
        <f>IF(T$12=0,0,T88/T$12)</f>
        <v>0</v>
      </c>
      <c r="W88" s="15"/>
      <c r="X88" s="35">
        <f>+P88-T88</f>
        <v>162039.45999999973</v>
      </c>
      <c r="Y88" s="15"/>
      <c r="Z88" s="32">
        <f>IF(T88=0,0,X88/T88)</f>
        <v>-0.55858918186612916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4">
        <v>44604.028475694446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3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22105</v>
      </c>
      <c r="E12" s="4"/>
      <c r="F12" s="12"/>
      <c r="G12" s="4"/>
      <c r="H12" s="4">
        <f>SUM(OSRRefH13x_0)</f>
        <v>33984</v>
      </c>
      <c r="I12" s="4"/>
      <c r="J12" s="12"/>
      <c r="K12" s="4"/>
      <c r="L12" s="4">
        <f t="shared" ref="L12:L13" si="0">+D12-H12</f>
        <v>-11879</v>
      </c>
      <c r="M12" s="4"/>
      <c r="N12" s="12">
        <f t="shared" ref="N12:N13" si="1">IF(H12=0,0,L12/H12)</f>
        <v>-0.34954684557438792</v>
      </c>
      <c r="O12" s="10"/>
      <c r="P12" s="4">
        <f>SUM(OSRRefP13x_0)</f>
        <v>311653</v>
      </c>
      <c r="Q12" s="4"/>
      <c r="R12" s="12"/>
      <c r="S12" s="4"/>
      <c r="T12" s="4">
        <f>SUM(OSRRefT13x_0)</f>
        <v>369656</v>
      </c>
      <c r="U12" s="4"/>
      <c r="V12" s="12"/>
      <c r="W12" s="4"/>
      <c r="X12" s="4">
        <f t="shared" ref="X12:X13" si="2">+P12-T12</f>
        <v>-58003</v>
      </c>
      <c r="Y12" s="4"/>
      <c r="Z12" s="12">
        <f t="shared" ref="Z12:Z13" si="3">IF(T12=0,0,X12/T12)</f>
        <v>-0.15691074945354599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--22105</f>
        <v>22105</v>
      </c>
      <c r="E13" s="2"/>
      <c r="F13" s="19"/>
      <c r="G13" s="2"/>
      <c r="H13" s="2">
        <f>--33984</f>
        <v>33984</v>
      </c>
      <c r="I13" s="2"/>
      <c r="J13" s="19"/>
      <c r="K13" s="2"/>
      <c r="L13" s="2">
        <f t="shared" si="0"/>
        <v>-11879</v>
      </c>
      <c r="M13" s="2"/>
      <c r="N13" s="19">
        <f t="shared" si="1"/>
        <v>-0.34954684557438792</v>
      </c>
      <c r="O13" s="11"/>
      <c r="P13" s="2">
        <f>--311653</f>
        <v>311653</v>
      </c>
      <c r="Q13" s="2"/>
      <c r="R13" s="19"/>
      <c r="S13" s="2"/>
      <c r="T13" s="2">
        <f>--369656</f>
        <v>369656</v>
      </c>
      <c r="U13" s="2"/>
      <c r="V13" s="19"/>
      <c r="W13" s="2"/>
      <c r="X13" s="2">
        <f t="shared" si="2"/>
        <v>-58003</v>
      </c>
      <c r="Y13" s="2"/>
      <c r="Z13" s="19">
        <f t="shared" si="3"/>
        <v>-0.15691074945354599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22105</v>
      </c>
      <c r="E17" s="13"/>
      <c r="F17" s="22">
        <f>IF(D$12=0,0,D17/D$12)</f>
        <v>1</v>
      </c>
      <c r="G17" s="13"/>
      <c r="H17" s="21">
        <f>H12-H15</f>
        <v>33984</v>
      </c>
      <c r="I17" s="13"/>
      <c r="J17" s="22">
        <f>IF(H$12=0,0,H17/H$12)</f>
        <v>1</v>
      </c>
      <c r="K17" s="15"/>
      <c r="L17" s="21">
        <f>+D17-H17</f>
        <v>-11879</v>
      </c>
      <c r="M17" s="15"/>
      <c r="N17" s="22">
        <f>IF(H17=0,0,L17/H17)</f>
        <v>-0.34954684557438792</v>
      </c>
      <c r="O17" s="26"/>
      <c r="P17" s="21">
        <f>P12-P15</f>
        <v>311653</v>
      </c>
      <c r="Q17" s="13"/>
      <c r="R17" s="22">
        <f>IF(P$12=0,0,P17/P$12)</f>
        <v>1</v>
      </c>
      <c r="S17" s="13"/>
      <c r="T17" s="21">
        <f>T12-T15</f>
        <v>369656</v>
      </c>
      <c r="U17" s="13"/>
      <c r="V17" s="22">
        <f>IF(T$12=0,0,T17/T$12)</f>
        <v>1</v>
      </c>
      <c r="W17" s="15"/>
      <c r="X17" s="21">
        <f>+P17-T17</f>
        <v>-58003</v>
      </c>
      <c r="Y17" s="15"/>
      <c r="Z17" s="22">
        <f>IF(T17=0,0,X17/T17)</f>
        <v>-0.15691074945354599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23961.410000000003</v>
      </c>
      <c r="E19" s="20"/>
      <c r="F19" s="30">
        <f t="shared" ref="F19:F29" si="4">IF(D$12=0,0,D19/D$12)</f>
        <v>1.083981452160145</v>
      </c>
      <c r="G19" s="20"/>
      <c r="H19" s="20">
        <f>SUM(OSRRefH22x_0)</f>
        <v>23351.099999999995</v>
      </c>
      <c r="I19" s="20"/>
      <c r="J19" s="30">
        <f t="shared" ref="J19:J29" si="5">IF(H$12=0,0,H19/H$12)</f>
        <v>0.68712040960451959</v>
      </c>
      <c r="K19" s="4"/>
      <c r="L19" s="20">
        <f t="shared" ref="L19:L29" si="6">+D19-H19</f>
        <v>610.31000000000859</v>
      </c>
      <c r="M19" s="4"/>
      <c r="N19" s="30">
        <f t="shared" ref="N19:N29" si="7">IF(H19=0,0,L19/H19)</f>
        <v>2.6136241975753122E-2</v>
      </c>
      <c r="O19" s="10"/>
      <c r="P19" s="20">
        <f>SUM(OSRRefP22x_0)</f>
        <v>283038.30999999994</v>
      </c>
      <c r="Q19" s="20"/>
      <c r="R19" s="30">
        <f t="shared" ref="R19:R29" si="8">IF(P$12=0,0,P19/P$12)</f>
        <v>0.90818413427754563</v>
      </c>
      <c r="S19" s="20"/>
      <c r="T19" s="20">
        <f>SUM(OSRRefT22x_0)</f>
        <v>309046.29000000004</v>
      </c>
      <c r="U19" s="20"/>
      <c r="V19" s="30">
        <f t="shared" ref="V19:V29" si="9">IF(T$12=0,0,T19/T$12)</f>
        <v>0.8360375321920922</v>
      </c>
      <c r="W19" s="4"/>
      <c r="X19" s="20">
        <f t="shared" ref="X19:X29" si="10">+P19-T19</f>
        <v>-26007.980000000098</v>
      </c>
      <c r="Y19" s="4"/>
      <c r="Z19" s="30">
        <f t="shared" ref="Z19:Z29" si="11">IF(T19=0,0,X19/T19)</f>
        <v>-8.4155613063661414E-2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4516.5</v>
      </c>
      <c r="E20" s="1"/>
      <c r="F20" s="5">
        <f t="shared" si="4"/>
        <v>0.20432028952725628</v>
      </c>
      <c r="G20" s="1"/>
      <c r="H20" s="1">
        <f>SUM(OSRRefH22_0x_0)</f>
        <v>4647.2599999999993</v>
      </c>
      <c r="I20" s="1"/>
      <c r="J20" s="5">
        <f t="shared" si="5"/>
        <v>0.13674846986817324</v>
      </c>
      <c r="K20" s="1"/>
      <c r="L20" s="1">
        <f t="shared" si="6"/>
        <v>-130.75999999999931</v>
      </c>
      <c r="M20" s="1"/>
      <c r="N20" s="5">
        <f t="shared" si="7"/>
        <v>-2.8137009764893577E-2</v>
      </c>
      <c r="O20" s="14"/>
      <c r="P20" s="1">
        <f>SUM(OSRRefP22_0x_0)</f>
        <v>28009.32</v>
      </c>
      <c r="Q20" s="1"/>
      <c r="R20" s="5">
        <f t="shared" si="8"/>
        <v>8.9873416909190665E-2</v>
      </c>
      <c r="S20" s="1"/>
      <c r="T20" s="1">
        <f>SUM(OSRRefT22_0x_0)</f>
        <v>29892.89</v>
      </c>
      <c r="U20" s="1"/>
      <c r="V20" s="5">
        <f t="shared" si="9"/>
        <v>8.0866778843032436E-2</v>
      </c>
      <c r="W20" s="1"/>
      <c r="X20" s="1">
        <f t="shared" si="10"/>
        <v>-1883.5699999999997</v>
      </c>
      <c r="Y20" s="1"/>
      <c r="Z20" s="5">
        <f t="shared" si="11"/>
        <v>-6.3010635639444687E-2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766.9</v>
      </c>
      <c r="E21" s="2"/>
      <c r="F21" s="6">
        <f t="shared" si="4"/>
        <v>3.4693508256050665E-2</v>
      </c>
      <c r="G21" s="2"/>
      <c r="H21" s="7">
        <v>829.91</v>
      </c>
      <c r="I21" s="2"/>
      <c r="J21" s="6">
        <f t="shared" si="5"/>
        <v>2.4420609698681733E-2</v>
      </c>
      <c r="K21" s="2"/>
      <c r="L21" s="7">
        <f t="shared" si="6"/>
        <v>-63.009999999999991</v>
      </c>
      <c r="M21" s="2"/>
      <c r="N21" s="6">
        <f t="shared" si="7"/>
        <v>-7.5923895362147692E-2</v>
      </c>
      <c r="O21" s="11"/>
      <c r="P21" s="7">
        <v>7466.2</v>
      </c>
      <c r="Q21" s="2"/>
      <c r="R21" s="6">
        <f t="shared" si="8"/>
        <v>2.3956772436010562E-2</v>
      </c>
      <c r="S21" s="2"/>
      <c r="T21" s="7">
        <v>7120.78</v>
      </c>
      <c r="U21" s="2"/>
      <c r="V21" s="6">
        <f t="shared" si="9"/>
        <v>1.9263260977773929E-2</v>
      </c>
      <c r="W21" s="2"/>
      <c r="X21" s="7">
        <f t="shared" si="10"/>
        <v>345.42000000000007</v>
      </c>
      <c r="Y21" s="2"/>
      <c r="Z21" s="6">
        <f t="shared" si="11"/>
        <v>4.8508730785110629E-2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130.47999999999999</v>
      </c>
      <c r="E22" s="2"/>
      <c r="F22" s="6">
        <f t="shared" si="4"/>
        <v>5.9027369373444915E-3</v>
      </c>
      <c r="G22" s="2"/>
      <c r="H22" s="7">
        <v>-13.7</v>
      </c>
      <c r="I22" s="2"/>
      <c r="J22" s="6">
        <f t="shared" si="5"/>
        <v>-4.031308851224105E-4</v>
      </c>
      <c r="K22" s="2"/>
      <c r="L22" s="7">
        <f t="shared" si="6"/>
        <v>144.17999999999998</v>
      </c>
      <c r="M22" s="2"/>
      <c r="N22" s="6">
        <f t="shared" si="7"/>
        <v>-10.524087591240875</v>
      </c>
      <c r="O22" s="11"/>
      <c r="P22" s="7">
        <v>1163.08</v>
      </c>
      <c r="Q22" s="2"/>
      <c r="R22" s="6">
        <f t="shared" si="8"/>
        <v>3.7319711345631195E-3</v>
      </c>
      <c r="S22" s="2"/>
      <c r="T22" s="7">
        <v>653.82000000000005</v>
      </c>
      <c r="U22" s="2"/>
      <c r="V22" s="6">
        <f t="shared" si="9"/>
        <v>1.7687255177786917E-3</v>
      </c>
      <c r="W22" s="2"/>
      <c r="X22" s="7">
        <f t="shared" si="10"/>
        <v>509.25999999999988</v>
      </c>
      <c r="Y22" s="2"/>
      <c r="Z22" s="6">
        <f t="shared" si="11"/>
        <v>0.77889939126976815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964.7</v>
      </c>
      <c r="E23" s="2"/>
      <c r="F23" s="6">
        <f t="shared" si="4"/>
        <v>4.364171002035739E-2</v>
      </c>
      <c r="G23" s="2"/>
      <c r="H23" s="7">
        <v>1207.95</v>
      </c>
      <c r="I23" s="2"/>
      <c r="J23" s="6">
        <f t="shared" si="5"/>
        <v>3.5544668079096044E-2</v>
      </c>
      <c r="K23" s="2"/>
      <c r="L23" s="7">
        <f t="shared" si="6"/>
        <v>-243.25</v>
      </c>
      <c r="M23" s="2"/>
      <c r="N23" s="6">
        <f t="shared" si="7"/>
        <v>-0.20137422906577257</v>
      </c>
      <c r="O23" s="11"/>
      <c r="P23" s="7">
        <v>7290.8</v>
      </c>
      <c r="Q23" s="2"/>
      <c r="R23" s="6">
        <f t="shared" si="8"/>
        <v>2.339396700817897E-2</v>
      </c>
      <c r="S23" s="2"/>
      <c r="T23" s="7">
        <v>8610.9500000000007</v>
      </c>
      <c r="U23" s="2"/>
      <c r="V23" s="6">
        <f t="shared" si="9"/>
        <v>2.3294495422771445E-2</v>
      </c>
      <c r="W23" s="2"/>
      <c r="X23" s="7">
        <f t="shared" si="10"/>
        <v>-1320.1500000000005</v>
      </c>
      <c r="Y23" s="2"/>
      <c r="Z23" s="6">
        <f t="shared" si="11"/>
        <v>-0.15331061032754811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25.77</v>
      </c>
      <c r="E24" s="2"/>
      <c r="F24" s="6">
        <f t="shared" si="4"/>
        <v>1.1657995928522958E-3</v>
      </c>
      <c r="G24" s="2"/>
      <c r="H24" s="7">
        <v>69.959999999999994</v>
      </c>
      <c r="I24" s="2"/>
      <c r="J24" s="6">
        <f t="shared" si="5"/>
        <v>2.0586158192090393E-3</v>
      </c>
      <c r="K24" s="2"/>
      <c r="L24" s="7">
        <f t="shared" si="6"/>
        <v>-44.19</v>
      </c>
      <c r="M24" s="2"/>
      <c r="N24" s="6">
        <f t="shared" si="7"/>
        <v>-0.63164665523156094</v>
      </c>
      <c r="O24" s="11"/>
      <c r="P24" s="7">
        <v>230.06</v>
      </c>
      <c r="Q24" s="2"/>
      <c r="R24" s="6">
        <f t="shared" si="8"/>
        <v>7.3819279775904614E-4</v>
      </c>
      <c r="S24" s="2"/>
      <c r="T24" s="7">
        <v>284.56</v>
      </c>
      <c r="U24" s="2"/>
      <c r="V24" s="6">
        <f t="shared" si="9"/>
        <v>7.6979678403705067E-4</v>
      </c>
      <c r="W24" s="2"/>
      <c r="X24" s="7">
        <f t="shared" si="10"/>
        <v>-54.5</v>
      </c>
      <c r="Y24" s="2"/>
      <c r="Z24" s="6">
        <f t="shared" si="11"/>
        <v>-0.19152375597413551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610.04</v>
      </c>
      <c r="E25" s="2"/>
      <c r="F25" s="6">
        <f t="shared" si="4"/>
        <v>2.7597376159239989E-2</v>
      </c>
      <c r="G25" s="2"/>
      <c r="H25" s="7">
        <v>960.53</v>
      </c>
      <c r="I25" s="2"/>
      <c r="J25" s="6">
        <f t="shared" si="5"/>
        <v>2.8264183145009416E-2</v>
      </c>
      <c r="K25" s="2"/>
      <c r="L25" s="7">
        <f t="shared" si="6"/>
        <v>-350.49</v>
      </c>
      <c r="M25" s="2"/>
      <c r="N25" s="6">
        <f t="shared" si="7"/>
        <v>-0.36489229904323656</v>
      </c>
      <c r="O25" s="11"/>
      <c r="P25" s="7">
        <v>4469.7299999999996</v>
      </c>
      <c r="Q25" s="2"/>
      <c r="R25" s="6">
        <f t="shared" si="8"/>
        <v>1.434200858005538E-2</v>
      </c>
      <c r="S25" s="2"/>
      <c r="T25" s="7">
        <v>5780.23</v>
      </c>
      <c r="U25" s="2"/>
      <c r="V25" s="6">
        <f t="shared" si="9"/>
        <v>1.5636781223624125E-2</v>
      </c>
      <c r="W25" s="2"/>
      <c r="X25" s="7">
        <f t="shared" si="10"/>
        <v>-1310.5</v>
      </c>
      <c r="Y25" s="2"/>
      <c r="Z25" s="6">
        <f t="shared" si="11"/>
        <v>-0.2267210820330679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4"/>
        <v>0</v>
      </c>
      <c r="G26" s="2"/>
      <c r="H26" s="7">
        <v>85.33</v>
      </c>
      <c r="I26" s="2"/>
      <c r="J26" s="6">
        <f t="shared" si="5"/>
        <v>2.5108874764595101E-3</v>
      </c>
      <c r="K26" s="2"/>
      <c r="L26" s="7">
        <f t="shared" si="6"/>
        <v>-85.33</v>
      </c>
      <c r="M26" s="2"/>
      <c r="N26" s="6">
        <f t="shared" si="7"/>
        <v>-1</v>
      </c>
      <c r="O26" s="11"/>
      <c r="P26" s="7">
        <v>215.15</v>
      </c>
      <c r="Q26" s="2"/>
      <c r="R26" s="6">
        <f t="shared" si="8"/>
        <v>6.903511276965086E-4</v>
      </c>
      <c r="S26" s="2"/>
      <c r="T26" s="7">
        <v>609.94000000000005</v>
      </c>
      <c r="U26" s="2"/>
      <c r="V26" s="6">
        <f t="shared" si="9"/>
        <v>1.6500205596554636E-3</v>
      </c>
      <c r="W26" s="2"/>
      <c r="X26" s="7">
        <f t="shared" si="10"/>
        <v>-394.79000000000008</v>
      </c>
      <c r="Y26" s="2"/>
      <c r="Z26" s="6">
        <f t="shared" si="11"/>
        <v>-0.64726038626750182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1087.24</v>
      </c>
      <c r="E27" s="2"/>
      <c r="F27" s="6">
        <f t="shared" si="4"/>
        <v>4.9185252205383397E-2</v>
      </c>
      <c r="G27" s="2"/>
      <c r="H27" s="7">
        <v>520.02</v>
      </c>
      <c r="I27" s="2"/>
      <c r="J27" s="6">
        <f t="shared" si="5"/>
        <v>1.5301906779661017E-2</v>
      </c>
      <c r="K27" s="2"/>
      <c r="L27" s="7">
        <f t="shared" si="6"/>
        <v>567.22</v>
      </c>
      <c r="M27" s="2"/>
      <c r="N27" s="6">
        <f t="shared" si="7"/>
        <v>1.0907657397792394</v>
      </c>
      <c r="O27" s="11"/>
      <c r="P27" s="7">
        <v>4131.6499999999996</v>
      </c>
      <c r="Q27" s="2"/>
      <c r="R27" s="6">
        <f t="shared" si="8"/>
        <v>1.3257212348348963E-2</v>
      </c>
      <c r="S27" s="2"/>
      <c r="T27" s="7">
        <v>3900.15</v>
      </c>
      <c r="U27" s="2"/>
      <c r="V27" s="6">
        <f t="shared" si="9"/>
        <v>1.05507552968165E-2</v>
      </c>
      <c r="W27" s="2"/>
      <c r="X27" s="7">
        <f t="shared" si="10"/>
        <v>231.49999999999955</v>
      </c>
      <c r="Y27" s="2"/>
      <c r="Z27" s="6">
        <f t="shared" si="11"/>
        <v>5.9356691409304656E-2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857.62</v>
      </c>
      <c r="E28" s="2"/>
      <c r="F28" s="6">
        <f t="shared" si="4"/>
        <v>3.8797557113775166E-2</v>
      </c>
      <c r="G28" s="2"/>
      <c r="H28" s="7">
        <v>299.26</v>
      </c>
      <c r="I28" s="2"/>
      <c r="J28" s="6">
        <f t="shared" si="5"/>
        <v>8.8059086629001873E-3</v>
      </c>
      <c r="K28" s="2"/>
      <c r="L28" s="7">
        <f t="shared" si="6"/>
        <v>558.36</v>
      </c>
      <c r="M28" s="2"/>
      <c r="N28" s="6">
        <f t="shared" si="7"/>
        <v>1.8658023123705141</v>
      </c>
      <c r="O28" s="11"/>
      <c r="P28" s="7">
        <v>2613.9</v>
      </c>
      <c r="Q28" s="2"/>
      <c r="R28" s="6">
        <f t="shared" si="8"/>
        <v>8.3872127013056193E-3</v>
      </c>
      <c r="S28" s="2"/>
      <c r="T28" s="7">
        <v>2244.46</v>
      </c>
      <c r="U28" s="2"/>
      <c r="V28" s="6">
        <f t="shared" si="9"/>
        <v>6.0717531975674685E-3</v>
      </c>
      <c r="W28" s="2"/>
      <c r="X28" s="7">
        <f t="shared" si="10"/>
        <v>369.44000000000005</v>
      </c>
      <c r="Y28" s="2"/>
      <c r="Z28" s="6">
        <f t="shared" si="11"/>
        <v>0.16460083940012299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73.75</v>
      </c>
      <c r="E29" s="2"/>
      <c r="F29" s="6">
        <f t="shared" si="4"/>
        <v>3.3363492422528842E-3</v>
      </c>
      <c r="G29" s="2"/>
      <c r="H29" s="7">
        <v>688</v>
      </c>
      <c r="I29" s="2"/>
      <c r="J29" s="6">
        <f t="shared" si="5"/>
        <v>2.0244821092278719E-2</v>
      </c>
      <c r="K29" s="2"/>
      <c r="L29" s="7">
        <f t="shared" si="6"/>
        <v>-614.25</v>
      </c>
      <c r="M29" s="2"/>
      <c r="N29" s="6">
        <f t="shared" si="7"/>
        <v>-0.89280523255813948</v>
      </c>
      <c r="O29" s="11"/>
      <c r="P29" s="7">
        <v>428.75</v>
      </c>
      <c r="Q29" s="2"/>
      <c r="R29" s="6">
        <f t="shared" si="8"/>
        <v>1.3757287752724986E-3</v>
      </c>
      <c r="S29" s="2"/>
      <c r="T29" s="7">
        <v>688</v>
      </c>
      <c r="U29" s="2"/>
      <c r="V29" s="6">
        <f t="shared" si="9"/>
        <v>1.8611898630077695E-3</v>
      </c>
      <c r="W29" s="2"/>
      <c r="X29" s="7">
        <f t="shared" si="10"/>
        <v>-259.25</v>
      </c>
      <c r="Y29" s="2"/>
      <c r="Z29" s="6">
        <f t="shared" si="11"/>
        <v>-0.37681686046511625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14348.74</v>
      </c>
      <c r="E30" s="1"/>
      <c r="F30" s="5">
        <f t="shared" ref="F30:F36" si="12">IF(D$12=0,0,D30/D$12)</f>
        <v>0.6491173942546935</v>
      </c>
      <c r="G30" s="1"/>
      <c r="H30" s="1">
        <f>SUM(OSRRefH22_1x_0)</f>
        <v>16962.05</v>
      </c>
      <c r="I30" s="1"/>
      <c r="J30" s="5">
        <f t="shared" ref="J30:J36" si="13">IF(H$12=0,0,H30/H$12)</f>
        <v>0.49911870291902072</v>
      </c>
      <c r="K30" s="1"/>
      <c r="L30" s="1">
        <f t="shared" ref="L30:L36" si="14">+D30-H30</f>
        <v>-2613.3099999999995</v>
      </c>
      <c r="M30" s="1"/>
      <c r="N30" s="5">
        <f t="shared" ref="N30:N36" si="15">IF(H30=0,0,L30/H30)</f>
        <v>-0.15406805191589457</v>
      </c>
      <c r="O30" s="14"/>
      <c r="P30" s="1">
        <f>SUM(OSRRefP22_1x_0)</f>
        <v>103311.95</v>
      </c>
      <c r="Q30" s="1"/>
      <c r="R30" s="5">
        <f t="shared" ref="R30:R36" si="16">IF(P$12=0,0,P30/P$12)</f>
        <v>0.33149672873355945</v>
      </c>
      <c r="S30" s="1"/>
      <c r="T30" s="1">
        <f>SUM(OSRRefT22_1x_0)</f>
        <v>102177.42</v>
      </c>
      <c r="U30" s="1"/>
      <c r="V30" s="5">
        <f t="shared" ref="V30:V36" si="17">IF(T$12=0,0,T30/T$12)</f>
        <v>0.27641217780855715</v>
      </c>
      <c r="W30" s="1"/>
      <c r="X30" s="1">
        <f t="shared" ref="X30:X36" si="18">+P30-T30</f>
        <v>1134.5299999999988</v>
      </c>
      <c r="Y30" s="1"/>
      <c r="Z30" s="5">
        <f t="shared" ref="Z30:Z36" si="19">IF(T30=0,0,X30/T30)</f>
        <v>1.1103529527365232E-2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5356.44</v>
      </c>
      <c r="E31" s="2"/>
      <c r="F31" s="6">
        <f t="shared" si="12"/>
        <v>0.24231802759556659</v>
      </c>
      <c r="G31" s="2"/>
      <c r="H31" s="7">
        <v>5257.72</v>
      </c>
      <c r="I31" s="2"/>
      <c r="J31" s="6">
        <f t="shared" si="13"/>
        <v>0.15471162900188323</v>
      </c>
      <c r="K31" s="2"/>
      <c r="L31" s="7">
        <f t="shared" si="14"/>
        <v>98.719999999999345</v>
      </c>
      <c r="M31" s="2"/>
      <c r="N31" s="6">
        <f t="shared" si="15"/>
        <v>1.8776199569394973E-2</v>
      </c>
      <c r="O31" s="11"/>
      <c r="P31" s="7">
        <v>33691.230000000003</v>
      </c>
      <c r="Q31" s="2"/>
      <c r="R31" s="6">
        <f t="shared" si="16"/>
        <v>0.10810494363923981</v>
      </c>
      <c r="S31" s="2"/>
      <c r="T31" s="7">
        <v>30912.61</v>
      </c>
      <c r="U31" s="2"/>
      <c r="V31" s="6">
        <f t="shared" si="17"/>
        <v>8.362534356266367E-2</v>
      </c>
      <c r="W31" s="2"/>
      <c r="X31" s="7">
        <f t="shared" si="18"/>
        <v>2778.6200000000026</v>
      </c>
      <c r="Y31" s="2"/>
      <c r="Z31" s="6">
        <f t="shared" si="19"/>
        <v>8.9886295592640109E-2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>
        <v>1700</v>
      </c>
      <c r="E32" s="2"/>
      <c r="F32" s="6">
        <f t="shared" si="12"/>
        <v>7.6905677448541057E-2</v>
      </c>
      <c r="G32" s="2"/>
      <c r="H32" s="7">
        <v>2853.3</v>
      </c>
      <c r="I32" s="2"/>
      <c r="J32" s="6">
        <f t="shared" si="13"/>
        <v>8.3960098870056496E-2</v>
      </c>
      <c r="K32" s="2"/>
      <c r="L32" s="7">
        <f t="shared" si="14"/>
        <v>-1153.3000000000002</v>
      </c>
      <c r="M32" s="2"/>
      <c r="N32" s="6">
        <f t="shared" si="15"/>
        <v>-0.40419864718045773</v>
      </c>
      <c r="O32" s="11"/>
      <c r="P32" s="7">
        <v>13252.57</v>
      </c>
      <c r="Q32" s="2"/>
      <c r="R32" s="6">
        <f t="shared" si="16"/>
        <v>4.2523479639214122E-2</v>
      </c>
      <c r="S32" s="2"/>
      <c r="T32" s="7">
        <v>16547.09</v>
      </c>
      <c r="U32" s="2"/>
      <c r="V32" s="6">
        <f t="shared" si="17"/>
        <v>4.476348280563551E-2</v>
      </c>
      <c r="W32" s="2"/>
      <c r="X32" s="7">
        <f t="shared" si="18"/>
        <v>-3294.5200000000004</v>
      </c>
      <c r="Y32" s="2"/>
      <c r="Z32" s="6">
        <f t="shared" si="19"/>
        <v>-0.19909966042367572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858.52</v>
      </c>
      <c r="E33" s="2"/>
      <c r="F33" s="6">
        <f t="shared" si="12"/>
        <v>3.8838271884189098E-2</v>
      </c>
      <c r="G33" s="2"/>
      <c r="H33" s="7"/>
      <c r="I33" s="2"/>
      <c r="J33" s="6">
        <f t="shared" si="13"/>
        <v>0</v>
      </c>
      <c r="K33" s="2"/>
      <c r="L33" s="7">
        <f t="shared" si="14"/>
        <v>858.52</v>
      </c>
      <c r="M33" s="2"/>
      <c r="N33" s="6">
        <f t="shared" si="15"/>
        <v>0</v>
      </c>
      <c r="O33" s="11"/>
      <c r="P33" s="7">
        <v>9010.9</v>
      </c>
      <c r="Q33" s="2"/>
      <c r="R33" s="6">
        <f t="shared" si="16"/>
        <v>2.8913246463213894E-2</v>
      </c>
      <c r="S33" s="2"/>
      <c r="T33" s="7"/>
      <c r="U33" s="2"/>
      <c r="V33" s="6">
        <f t="shared" si="17"/>
        <v>0</v>
      </c>
      <c r="W33" s="2"/>
      <c r="X33" s="7">
        <f t="shared" si="18"/>
        <v>9010.9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3237.63</v>
      </c>
      <c r="E34" s="2"/>
      <c r="F34" s="6">
        <f t="shared" si="12"/>
        <v>0.14646595792807057</v>
      </c>
      <c r="G34" s="2"/>
      <c r="H34" s="7">
        <v>5996.43</v>
      </c>
      <c r="I34" s="2"/>
      <c r="J34" s="6">
        <f t="shared" si="13"/>
        <v>0.17644862288135593</v>
      </c>
      <c r="K34" s="2"/>
      <c r="L34" s="7">
        <f t="shared" si="14"/>
        <v>-2758.8</v>
      </c>
      <c r="M34" s="2"/>
      <c r="N34" s="6">
        <f t="shared" si="15"/>
        <v>-0.46007374387760719</v>
      </c>
      <c r="O34" s="11"/>
      <c r="P34" s="7">
        <v>40265.300000000003</v>
      </c>
      <c r="Q34" s="2"/>
      <c r="R34" s="6">
        <f t="shared" si="16"/>
        <v>0.12919914135272242</v>
      </c>
      <c r="S34" s="2"/>
      <c r="T34" s="7">
        <v>45162.58</v>
      </c>
      <c r="U34" s="2"/>
      <c r="V34" s="6">
        <f t="shared" si="17"/>
        <v>0.12217461640011254</v>
      </c>
      <c r="W34" s="2"/>
      <c r="X34" s="7">
        <f t="shared" si="18"/>
        <v>-4897.2799999999988</v>
      </c>
      <c r="Y34" s="2"/>
      <c r="Z34" s="6">
        <f t="shared" si="19"/>
        <v>-0.10843667478695855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>
        <v>3196.15</v>
      </c>
      <c r="E35" s="2"/>
      <c r="F35" s="6">
        <f t="shared" si="12"/>
        <v>0.14458945939832618</v>
      </c>
      <c r="G35" s="2"/>
      <c r="H35" s="7">
        <v>2263.8000000000002</v>
      </c>
      <c r="I35" s="2"/>
      <c r="J35" s="6">
        <f t="shared" si="13"/>
        <v>6.6613700564971762E-2</v>
      </c>
      <c r="K35" s="2"/>
      <c r="L35" s="7">
        <f t="shared" si="14"/>
        <v>932.34999999999991</v>
      </c>
      <c r="M35" s="2"/>
      <c r="N35" s="6">
        <f t="shared" si="15"/>
        <v>0.41185175368848831</v>
      </c>
      <c r="O35" s="11"/>
      <c r="P35" s="7">
        <v>6927.73</v>
      </c>
      <c r="Q35" s="2"/>
      <c r="R35" s="6">
        <f t="shared" si="16"/>
        <v>2.2228985442142381E-2</v>
      </c>
      <c r="S35" s="2"/>
      <c r="T35" s="7">
        <v>6191.78</v>
      </c>
      <c r="U35" s="2"/>
      <c r="V35" s="6">
        <f t="shared" si="17"/>
        <v>1.6750113619148615E-2</v>
      </c>
      <c r="W35" s="2"/>
      <c r="X35" s="7">
        <f t="shared" si="18"/>
        <v>735.94999999999982</v>
      </c>
      <c r="Y35" s="2"/>
      <c r="Z35" s="6">
        <f t="shared" si="19"/>
        <v>0.11885919719369872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12"/>
        <v>0</v>
      </c>
      <c r="G36" s="2"/>
      <c r="H36" s="7">
        <v>590.79999999999995</v>
      </c>
      <c r="I36" s="2"/>
      <c r="J36" s="6">
        <f t="shared" si="13"/>
        <v>1.7384651600753295E-2</v>
      </c>
      <c r="K36" s="2"/>
      <c r="L36" s="7">
        <f t="shared" si="14"/>
        <v>-590.79999999999995</v>
      </c>
      <c r="M36" s="2"/>
      <c r="N36" s="6">
        <f t="shared" si="15"/>
        <v>-1</v>
      </c>
      <c r="O36" s="11"/>
      <c r="P36" s="7">
        <v>164.22</v>
      </c>
      <c r="Q36" s="2"/>
      <c r="R36" s="6">
        <f t="shared" si="16"/>
        <v>5.2693219702682154E-4</v>
      </c>
      <c r="S36" s="2"/>
      <c r="T36" s="7">
        <v>3363.36</v>
      </c>
      <c r="U36" s="2"/>
      <c r="V36" s="6">
        <f t="shared" si="17"/>
        <v>9.0986214209968184E-3</v>
      </c>
      <c r="W36" s="2"/>
      <c r="X36" s="7">
        <f t="shared" si="18"/>
        <v>-3199.1400000000003</v>
      </c>
      <c r="Y36" s="2"/>
      <c r="Z36" s="6">
        <f t="shared" si="19"/>
        <v>-0.95117382617382629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3.6085004797001789E-4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0"/>
        <v>0</v>
      </c>
      <c r="G38" s="2"/>
      <c r="H38" s="7"/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>
        <v>112.46</v>
      </c>
      <c r="Q38" s="2"/>
      <c r="R38" s="6">
        <f t="shared" si="24"/>
        <v>3.6085004797001789E-4</v>
      </c>
      <c r="S38" s="2"/>
      <c r="T38" s="7"/>
      <c r="U38" s="2"/>
      <c r="V38" s="6">
        <f t="shared" si="25"/>
        <v>0</v>
      </c>
      <c r="W38" s="2"/>
      <c r="X38" s="7">
        <f t="shared" si="26"/>
        <v>112.46</v>
      </c>
      <c r="Y38" s="2"/>
      <c r="Z38" s="6">
        <f t="shared" si="27"/>
        <v>0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89.97</v>
      </c>
      <c r="E39" s="1"/>
      <c r="F39" s="5">
        <f t="shared" si="20"/>
        <v>4.0701198823795519E-3</v>
      </c>
      <c r="G39" s="1"/>
      <c r="H39" s="1">
        <f>SUM(OSRRefH22_3x_0)</f>
        <v>51.31</v>
      </c>
      <c r="I39" s="1"/>
      <c r="J39" s="5">
        <f t="shared" si="21"/>
        <v>1.5098281544256122E-3</v>
      </c>
      <c r="K39" s="1"/>
      <c r="L39" s="1">
        <f t="shared" si="22"/>
        <v>38.659999999999997</v>
      </c>
      <c r="M39" s="1"/>
      <c r="N39" s="5">
        <f t="shared" si="23"/>
        <v>0.75345936464626773</v>
      </c>
      <c r="O39" s="14"/>
      <c r="P39" s="1">
        <f>SUM(OSRRefP22_3x_0)</f>
        <v>1900.47</v>
      </c>
      <c r="Q39" s="1"/>
      <c r="R39" s="5">
        <f t="shared" si="24"/>
        <v>6.0980321062207004E-3</v>
      </c>
      <c r="S39" s="1"/>
      <c r="T39" s="1">
        <f>SUM(OSRRefT22_3x_0)</f>
        <v>670.89</v>
      </c>
      <c r="U39" s="1"/>
      <c r="V39" s="5">
        <f t="shared" si="25"/>
        <v>1.8149035860367476E-3</v>
      </c>
      <c r="W39" s="1"/>
      <c r="X39" s="1">
        <f t="shared" si="26"/>
        <v>1229.58</v>
      </c>
      <c r="Y39" s="1"/>
      <c r="Z39" s="5">
        <f t="shared" si="27"/>
        <v>1.8327594687653712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7">
        <v>89.97</v>
      </c>
      <c r="E40" s="2"/>
      <c r="F40" s="6">
        <f t="shared" si="20"/>
        <v>4.0701198823795519E-3</v>
      </c>
      <c r="G40" s="2"/>
      <c r="H40" s="7">
        <v>51.31</v>
      </c>
      <c r="I40" s="2"/>
      <c r="J40" s="6">
        <f t="shared" si="21"/>
        <v>1.5098281544256122E-3</v>
      </c>
      <c r="K40" s="2"/>
      <c r="L40" s="7">
        <f t="shared" si="22"/>
        <v>38.659999999999997</v>
      </c>
      <c r="M40" s="2"/>
      <c r="N40" s="6">
        <f t="shared" si="23"/>
        <v>0.75345936464626773</v>
      </c>
      <c r="O40" s="11"/>
      <c r="P40" s="7">
        <v>1900.47</v>
      </c>
      <c r="Q40" s="2"/>
      <c r="R40" s="6">
        <f t="shared" si="24"/>
        <v>6.0980321062207004E-3</v>
      </c>
      <c r="S40" s="2"/>
      <c r="T40" s="7">
        <v>670.89</v>
      </c>
      <c r="U40" s="2"/>
      <c r="V40" s="6">
        <f t="shared" si="25"/>
        <v>1.8149035860367476E-3</v>
      </c>
      <c r="W40" s="2"/>
      <c r="X40" s="7">
        <f t="shared" si="26"/>
        <v>1229.58</v>
      </c>
      <c r="Y40" s="2"/>
      <c r="Z40" s="6">
        <f t="shared" si="27"/>
        <v>1.8327594687653712</v>
      </c>
    </row>
    <row r="41" spans="1:26" s="29" customFormat="1" outlineLevel="1" collapsed="1" x14ac:dyDescent="0.3">
      <c r="A41" s="28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1.9893920482074616E-6</v>
      </c>
      <c r="S41" s="1"/>
      <c r="T41" s="1">
        <f>SUM(OSRRefT22_4x_0)</f>
        <v>2.12</v>
      </c>
      <c r="U41" s="1"/>
      <c r="V41" s="5">
        <f t="shared" si="25"/>
        <v>5.7350617871751037E-6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7"/>
      <c r="B42" s="11" t="str">
        <f>CONCATENATE("          ", "6305", " - ", "FREIGHT OUT")</f>
        <v xml:space="preserve">          6305 - FREIGHT OUT</v>
      </c>
      <c r="C42" s="11"/>
      <c r="D42" s="7"/>
      <c r="E42" s="2"/>
      <c r="F42" s="6">
        <f t="shared" si="20"/>
        <v>0</v>
      </c>
      <c r="G42" s="2"/>
      <c r="H42" s="7"/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0.62</v>
      </c>
      <c r="Q42" s="2"/>
      <c r="R42" s="6">
        <f t="shared" si="24"/>
        <v>1.9893920482074616E-6</v>
      </c>
      <c r="S42" s="2"/>
      <c r="T42" s="7">
        <v>1.62</v>
      </c>
      <c r="U42" s="2"/>
      <c r="V42" s="6">
        <f t="shared" si="25"/>
        <v>4.3824528751055041E-6</v>
      </c>
      <c r="W42" s="2"/>
      <c r="X42" s="7">
        <f t="shared" si="26"/>
        <v>-1</v>
      </c>
      <c r="Y42" s="2"/>
      <c r="Z42" s="6">
        <f t="shared" si="27"/>
        <v>-0.61728395061728392</v>
      </c>
    </row>
    <row r="43" spans="1:26" s="24" customFormat="1" hidden="1" outlineLevel="2" x14ac:dyDescent="0.3">
      <c r="A43" s="27"/>
      <c r="B43" s="11" t="str">
        <f>CONCATENATE("          ", "6307", " - ", "POSTAGE")</f>
        <v xml:space="preserve">          6307 - POSTAGE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0.5</v>
      </c>
      <c r="U43" s="2"/>
      <c r="V43" s="6">
        <f t="shared" si="25"/>
        <v>1.3526089120695998E-6</v>
      </c>
      <c r="W43" s="2"/>
      <c r="X43" s="7">
        <f t="shared" si="26"/>
        <v>-0.5</v>
      </c>
      <c r="Y43" s="2"/>
      <c r="Z43" s="6">
        <f t="shared" si="27"/>
        <v>-1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1" si="28">IF(D$12=0,0,D44/D$12)</f>
        <v>1.7837593304682198E-3</v>
      </c>
      <c r="G44" s="1"/>
      <c r="H44" s="1">
        <f>SUM(OSRRefH22_5x_0)</f>
        <v>29.01</v>
      </c>
      <c r="I44" s="1"/>
      <c r="J44" s="5">
        <f t="shared" ref="J44:J51" si="29">IF(H$12=0,0,H44/H$12)</f>
        <v>8.5363700564971754E-4</v>
      </c>
      <c r="K44" s="1"/>
      <c r="L44" s="1">
        <f t="shared" ref="L44:L51" si="30">+D44-H44</f>
        <v>10.419999999999998</v>
      </c>
      <c r="M44" s="1"/>
      <c r="N44" s="5">
        <f t="shared" ref="N44:N51" si="31">IF(H44=0,0,L44/H44)</f>
        <v>0.35918648741813158</v>
      </c>
      <c r="O44" s="14"/>
      <c r="P44" s="1">
        <f>SUM(OSRRefP22_5x_0)</f>
        <v>276.01</v>
      </c>
      <c r="Q44" s="1"/>
      <c r="R44" s="5">
        <f t="shared" ref="R44:R51" si="32">IF(P$12=0,0,P44/P$12)</f>
        <v>8.8563241810603452E-4</v>
      </c>
      <c r="S44" s="1"/>
      <c r="T44" s="1">
        <f>SUM(OSRRefT22_5x_0)</f>
        <v>203.07</v>
      </c>
      <c r="U44" s="1"/>
      <c r="V44" s="5">
        <f t="shared" ref="V44:V51" si="33">IF(T$12=0,0,T44/T$12)</f>
        <v>5.4934858354794723E-4</v>
      </c>
      <c r="W44" s="1"/>
      <c r="X44" s="1">
        <f t="shared" ref="X44:X51" si="34">+P44-T44</f>
        <v>72.94</v>
      </c>
      <c r="Y44" s="1"/>
      <c r="Z44" s="5">
        <f t="shared" ref="Z44:Z51" si="35">IF(T44=0,0,X44/T44)</f>
        <v>0.35918648741813169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39.43</v>
      </c>
      <c r="E45" s="2"/>
      <c r="F45" s="6">
        <f t="shared" si="28"/>
        <v>1.7837593304682198E-3</v>
      </c>
      <c r="G45" s="2"/>
      <c r="H45" s="7">
        <v>29.01</v>
      </c>
      <c r="I45" s="2"/>
      <c r="J45" s="6">
        <f t="shared" si="29"/>
        <v>8.5363700564971754E-4</v>
      </c>
      <c r="K45" s="2"/>
      <c r="L45" s="7">
        <f t="shared" si="30"/>
        <v>10.419999999999998</v>
      </c>
      <c r="M45" s="2"/>
      <c r="N45" s="6">
        <f t="shared" si="31"/>
        <v>0.35918648741813158</v>
      </c>
      <c r="O45" s="11"/>
      <c r="P45" s="7">
        <v>276.01</v>
      </c>
      <c r="Q45" s="2"/>
      <c r="R45" s="6">
        <f t="shared" si="32"/>
        <v>8.8563241810603452E-4</v>
      </c>
      <c r="S45" s="2"/>
      <c r="T45" s="7">
        <v>203.07</v>
      </c>
      <c r="U45" s="2"/>
      <c r="V45" s="6">
        <f t="shared" si="33"/>
        <v>5.4934858354794723E-4</v>
      </c>
      <c r="W45" s="2"/>
      <c r="X45" s="7">
        <f t="shared" si="34"/>
        <v>72.94</v>
      </c>
      <c r="Y45" s="2"/>
      <c r="Z45" s="6">
        <f t="shared" si="35"/>
        <v>0.35918648741813169</v>
      </c>
    </row>
    <row r="46" spans="1:26" s="29" customFormat="1" outlineLevel="1" collapsed="1" x14ac:dyDescent="0.3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3.6190907034607554E-2</v>
      </c>
      <c r="G46" s="1"/>
      <c r="H46" s="1">
        <f>SUM(OSRRefH22_6x_0)</f>
        <v>800</v>
      </c>
      <c r="I46" s="1"/>
      <c r="J46" s="5">
        <f t="shared" si="29"/>
        <v>2.3540489642184557E-2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5600</v>
      </c>
      <c r="Q46" s="1"/>
      <c r="R46" s="5">
        <f t="shared" si="32"/>
        <v>1.7968702370906104E-2</v>
      </c>
      <c r="S46" s="1"/>
      <c r="T46" s="1">
        <f>SUM(OSRRefT22_6x_0)</f>
        <v>5600</v>
      </c>
      <c r="U46" s="1"/>
      <c r="V46" s="5">
        <f t="shared" si="33"/>
        <v>1.5149219815179518E-2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7"/>
      <c r="B47" s="11" t="str">
        <f>CONCATENATE("          ", "6273", " - ", "RENT")</f>
        <v xml:space="preserve">          6273 - RENT</v>
      </c>
      <c r="C47" s="11"/>
      <c r="D47" s="7">
        <v>800</v>
      </c>
      <c r="E47" s="2"/>
      <c r="F47" s="6">
        <f t="shared" si="28"/>
        <v>3.6190907034607554E-2</v>
      </c>
      <c r="G47" s="2"/>
      <c r="H47" s="7">
        <v>800</v>
      </c>
      <c r="I47" s="2"/>
      <c r="J47" s="6">
        <f t="shared" si="29"/>
        <v>2.3540489642184557E-2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5600</v>
      </c>
      <c r="Q47" s="2"/>
      <c r="R47" s="6">
        <f t="shared" si="32"/>
        <v>1.7968702370906104E-2</v>
      </c>
      <c r="S47" s="2"/>
      <c r="T47" s="7">
        <v>5600</v>
      </c>
      <c r="U47" s="2"/>
      <c r="V47" s="6">
        <f t="shared" si="33"/>
        <v>1.5149219815179518E-2</v>
      </c>
      <c r="W47" s="2"/>
      <c r="X47" s="7">
        <f t="shared" si="34"/>
        <v>0</v>
      </c>
      <c r="Y47" s="2"/>
      <c r="Z47" s="6">
        <f t="shared" si="35"/>
        <v>0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1555.65</v>
      </c>
      <c r="E48" s="1"/>
      <c r="F48" s="5">
        <f t="shared" si="28"/>
        <v>7.037548066048406E-2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1555.65</v>
      </c>
      <c r="M48" s="1"/>
      <c r="N48" s="5">
        <f t="shared" si="31"/>
        <v>0</v>
      </c>
      <c r="O48" s="14"/>
      <c r="P48" s="1">
        <f>SUM(OSRRefP22_7x_0)</f>
        <v>123556.26999999999</v>
      </c>
      <c r="Q48" s="1"/>
      <c r="R48" s="5">
        <f t="shared" si="32"/>
        <v>0.39645461458737757</v>
      </c>
      <c r="S48" s="1"/>
      <c r="T48" s="1">
        <f>SUM(OSRRefT22_7x_0)</f>
        <v>126914.9</v>
      </c>
      <c r="U48" s="1"/>
      <c r="V48" s="5">
        <f t="shared" si="33"/>
        <v>0.34333244962884407</v>
      </c>
      <c r="W48" s="1"/>
      <c r="X48" s="1">
        <f t="shared" si="34"/>
        <v>-3358.6300000000047</v>
      </c>
      <c r="Y48" s="1"/>
      <c r="Z48" s="5">
        <f t="shared" si="35"/>
        <v>-2.6463638233178332E-2</v>
      </c>
    </row>
    <row r="49" spans="1:26" s="24" customFormat="1" hidden="1" outlineLevel="2" x14ac:dyDescent="0.3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7">
        <v>1555.65</v>
      </c>
      <c r="E49" s="2"/>
      <c r="F49" s="6">
        <f t="shared" si="28"/>
        <v>7.037548066048406E-2</v>
      </c>
      <c r="G49" s="2"/>
      <c r="H49" s="7"/>
      <c r="I49" s="2"/>
      <c r="J49" s="6">
        <f t="shared" si="29"/>
        <v>0</v>
      </c>
      <c r="K49" s="2"/>
      <c r="L49" s="7">
        <f t="shared" si="30"/>
        <v>1555.65</v>
      </c>
      <c r="M49" s="2"/>
      <c r="N49" s="6">
        <f t="shared" si="31"/>
        <v>0</v>
      </c>
      <c r="O49" s="11"/>
      <c r="P49" s="7">
        <v>1555.65</v>
      </c>
      <c r="Q49" s="2"/>
      <c r="R49" s="6">
        <f t="shared" si="32"/>
        <v>4.9916092577321578E-3</v>
      </c>
      <c r="S49" s="2"/>
      <c r="T49" s="7"/>
      <c r="U49" s="2"/>
      <c r="V49" s="6">
        <f t="shared" si="33"/>
        <v>0</v>
      </c>
      <c r="W49" s="2"/>
      <c r="X49" s="7">
        <f t="shared" si="34"/>
        <v>1555.65</v>
      </c>
      <c r="Y49" s="2"/>
      <c r="Z49" s="6">
        <f t="shared" si="35"/>
        <v>0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122000.62</v>
      </c>
      <c r="Q50" s="2"/>
      <c r="R50" s="6">
        <f t="shared" si="32"/>
        <v>0.39146300532964545</v>
      </c>
      <c r="S50" s="2"/>
      <c r="T50" s="7">
        <v>120352.9</v>
      </c>
      <c r="U50" s="2"/>
      <c r="V50" s="6">
        <f t="shared" si="33"/>
        <v>0.32558081026684266</v>
      </c>
      <c r="W50" s="2"/>
      <c r="X50" s="7">
        <f t="shared" si="34"/>
        <v>1647.7200000000012</v>
      </c>
      <c r="Y50" s="2"/>
      <c r="Z50" s="6">
        <f t="shared" si="35"/>
        <v>1.3690737821855569E-2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28"/>
        <v>0</v>
      </c>
      <c r="G51" s="2"/>
      <c r="H51" s="7"/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6562</v>
      </c>
      <c r="U51" s="2"/>
      <c r="V51" s="6">
        <f t="shared" si="33"/>
        <v>1.7751639362001428E-2</v>
      </c>
      <c r="W51" s="2"/>
      <c r="X51" s="7">
        <f t="shared" si="34"/>
        <v>-6562</v>
      </c>
      <c r="Y51" s="2"/>
      <c r="Z51" s="6">
        <f t="shared" si="35"/>
        <v>-1</v>
      </c>
    </row>
    <row r="52" spans="1:26" s="29" customFormat="1" outlineLevel="1" collapsed="1" x14ac:dyDescent="0.3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SUM(OSRRefD22_8x_0)</f>
        <v>2523.12</v>
      </c>
      <c r="E52" s="1"/>
      <c r="F52" s="5">
        <f t="shared" ref="F52:F54" si="36">IF(D$12=0,0,D52/D$12)</f>
        <v>0.11414250169644877</v>
      </c>
      <c r="G52" s="1"/>
      <c r="H52" s="1">
        <f>SUM(OSRRefH22_8x_0)</f>
        <v>774.92</v>
      </c>
      <c r="I52" s="1"/>
      <c r="J52" s="5">
        <f t="shared" ref="J52:J54" si="37">IF(H$12=0,0,H52/H$12)</f>
        <v>2.2802495291902071E-2</v>
      </c>
      <c r="K52" s="1"/>
      <c r="L52" s="1">
        <f t="shared" ref="L52:L54" si="38">+D52-H52</f>
        <v>1748.1999999999998</v>
      </c>
      <c r="M52" s="1"/>
      <c r="N52" s="5">
        <f t="shared" ref="N52:N54" si="39">IF(H52=0,0,L52/H52)</f>
        <v>2.2559748103029991</v>
      </c>
      <c r="O52" s="14"/>
      <c r="P52" s="1">
        <f>SUM(OSRRefP22_8x_0)</f>
        <v>18078.21</v>
      </c>
      <c r="Q52" s="1"/>
      <c r="R52" s="5">
        <f t="shared" ref="R52:R54" si="40">IF(P$12=0,0,P52/P$12)</f>
        <v>5.800749551584615E-2</v>
      </c>
      <c r="S52" s="1"/>
      <c r="T52" s="1">
        <f>SUM(OSRRefT22_8x_0)</f>
        <v>42046.62</v>
      </c>
      <c r="U52" s="1"/>
      <c r="V52" s="5">
        <f t="shared" ref="V52:V54" si="41">IF(T$12=0,0,T52/T$12)</f>
        <v>0.11374526586880776</v>
      </c>
      <c r="W52" s="1"/>
      <c r="X52" s="1">
        <f t="shared" ref="X52:X54" si="42">+P52-T52</f>
        <v>-23968.410000000003</v>
      </c>
      <c r="Y52" s="1"/>
      <c r="Z52" s="5">
        <f t="shared" ref="Z52:Z54" si="43">IF(T52=0,0,X52/T52)</f>
        <v>-0.57004368008653261</v>
      </c>
    </row>
    <row r="53" spans="1:26" s="24" customFormat="1" hidden="1" outlineLevel="2" x14ac:dyDescent="0.3">
      <c r="A53" s="27"/>
      <c r="B53" s="11" t="str">
        <f>CONCATENATE("          ", "6241", " - ", "OFFICE EXPENSE")</f>
        <v xml:space="preserve">          6241 - OFFICE EXPENSE</v>
      </c>
      <c r="C53" s="11"/>
      <c r="D53" s="7">
        <v>2523.12</v>
      </c>
      <c r="E53" s="2"/>
      <c r="F53" s="6">
        <f t="shared" si="36"/>
        <v>0.11414250169644877</v>
      </c>
      <c r="G53" s="2"/>
      <c r="H53" s="7">
        <v>774.92</v>
      </c>
      <c r="I53" s="2"/>
      <c r="J53" s="6">
        <f t="shared" si="37"/>
        <v>2.2802495291902071E-2</v>
      </c>
      <c r="K53" s="2"/>
      <c r="L53" s="7">
        <f t="shared" si="38"/>
        <v>1748.1999999999998</v>
      </c>
      <c r="M53" s="2"/>
      <c r="N53" s="6">
        <f t="shared" si="39"/>
        <v>2.2559748103029991</v>
      </c>
      <c r="O53" s="11"/>
      <c r="P53" s="7">
        <v>18061.669999999998</v>
      </c>
      <c r="Q53" s="2"/>
      <c r="R53" s="6">
        <f t="shared" si="40"/>
        <v>5.7954423669914934E-2</v>
      </c>
      <c r="S53" s="2"/>
      <c r="T53" s="7">
        <v>42046.62</v>
      </c>
      <c r="U53" s="2"/>
      <c r="V53" s="6">
        <f t="shared" si="41"/>
        <v>0.11374526586880776</v>
      </c>
      <c r="W53" s="2"/>
      <c r="X53" s="7">
        <f t="shared" si="42"/>
        <v>-23984.950000000004</v>
      </c>
      <c r="Y53" s="2"/>
      <c r="Z53" s="6">
        <f t="shared" si="43"/>
        <v>-0.57043705296644542</v>
      </c>
    </row>
    <row r="54" spans="1:26" s="24" customFormat="1" hidden="1" outlineLevel="2" x14ac:dyDescent="0.3">
      <c r="A54" s="27"/>
      <c r="B54" s="11" t="str">
        <f>CONCATENATE("          ", "6247", " - ", "STORE SUPPLIES")</f>
        <v xml:space="preserve">          6247 - STORE SUPPLIES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16.54</v>
      </c>
      <c r="Q54" s="2"/>
      <c r="R54" s="6">
        <f t="shared" si="40"/>
        <v>5.3071845931211954E-5</v>
      </c>
      <c r="S54" s="2"/>
      <c r="T54" s="7"/>
      <c r="U54" s="2"/>
      <c r="V54" s="6">
        <f t="shared" si="41"/>
        <v>0</v>
      </c>
      <c r="W54" s="2"/>
      <c r="X54" s="7">
        <f t="shared" si="42"/>
        <v>16.54</v>
      </c>
      <c r="Y54" s="2"/>
      <c r="Z54" s="6">
        <f t="shared" si="43"/>
        <v>0</v>
      </c>
    </row>
    <row r="55" spans="1:26" s="29" customFormat="1" outlineLevel="1" collapsed="1" x14ac:dyDescent="0.3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SUM(OSRRefD22_9x_0)</f>
        <v>88</v>
      </c>
      <c r="E55" s="1"/>
      <c r="F55" s="5">
        <f t="shared" ref="F55:F58" si="44">IF(D$12=0,0,D55/D$12)</f>
        <v>3.9809997738068309E-3</v>
      </c>
      <c r="G55" s="1"/>
      <c r="H55" s="1">
        <f>SUM(OSRRefH22_9x_0)</f>
        <v>86.55</v>
      </c>
      <c r="I55" s="1"/>
      <c r="J55" s="5">
        <f t="shared" ref="J55:J58" si="45">IF(H$12=0,0,H55/H$12)</f>
        <v>2.5467867231638418E-3</v>
      </c>
      <c r="K55" s="1"/>
      <c r="L55" s="1">
        <f t="shared" ref="L55:L58" si="46">+D55-H55</f>
        <v>1.4500000000000028</v>
      </c>
      <c r="M55" s="1"/>
      <c r="N55" s="5">
        <f t="shared" ref="N55:N58" si="47">IF(H55=0,0,L55/H55)</f>
        <v>1.6753321779318348E-2</v>
      </c>
      <c r="O55" s="14"/>
      <c r="P55" s="1">
        <f>SUM(OSRRefP22_9x_0)</f>
        <v>193</v>
      </c>
      <c r="Q55" s="1"/>
      <c r="R55" s="5">
        <f t="shared" ref="R55:R58" si="48">IF(P$12=0,0,P55/P$12)</f>
        <v>6.1927849242587104E-4</v>
      </c>
      <c r="S55" s="1"/>
      <c r="T55" s="1">
        <f>SUM(OSRRefT22_9x_0)</f>
        <v>1538.38</v>
      </c>
      <c r="U55" s="1"/>
      <c r="V55" s="5">
        <f t="shared" ref="V55:V58" si="49">IF(T$12=0,0,T55/T$12)</f>
        <v>4.1616529962992619E-3</v>
      </c>
      <c r="W55" s="1"/>
      <c r="X55" s="1">
        <f t="shared" ref="X55:X58" si="50">+P55-T55</f>
        <v>-1345.38</v>
      </c>
      <c r="Y55" s="1"/>
      <c r="Z55" s="5">
        <f t="shared" ref="Z55:Z58" si="51">IF(T55=0,0,X55/T55)</f>
        <v>-0.87454335079759227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7">
        <v>88</v>
      </c>
      <c r="E56" s="2"/>
      <c r="F56" s="6">
        <f t="shared" si="44"/>
        <v>3.9809997738068309E-3</v>
      </c>
      <c r="G56" s="2"/>
      <c r="H56" s="7">
        <v>86.55</v>
      </c>
      <c r="I56" s="2"/>
      <c r="J56" s="6">
        <f t="shared" si="45"/>
        <v>2.5467867231638418E-3</v>
      </c>
      <c r="K56" s="2"/>
      <c r="L56" s="7">
        <f t="shared" si="46"/>
        <v>1.4500000000000028</v>
      </c>
      <c r="M56" s="2"/>
      <c r="N56" s="6">
        <f t="shared" si="47"/>
        <v>1.6753321779318348E-2</v>
      </c>
      <c r="O56" s="11"/>
      <c r="P56" s="7">
        <v>193</v>
      </c>
      <c r="Q56" s="2"/>
      <c r="R56" s="6">
        <f t="shared" si="48"/>
        <v>6.1927849242587104E-4</v>
      </c>
      <c r="S56" s="2"/>
      <c r="T56" s="7">
        <v>1538.38</v>
      </c>
      <c r="U56" s="2"/>
      <c r="V56" s="6">
        <f t="shared" si="49"/>
        <v>4.1616529962992619E-3</v>
      </c>
      <c r="W56" s="2"/>
      <c r="X56" s="7">
        <f t="shared" si="50"/>
        <v>-1345.38</v>
      </c>
      <c r="Y56" s="2"/>
      <c r="Z56" s="6">
        <f t="shared" si="51"/>
        <v>-0.87454335079759227</v>
      </c>
    </row>
    <row r="57" spans="1:26" s="29" customFormat="1" outlineLevel="1" collapsed="1" x14ac:dyDescent="0.3">
      <c r="A57" s="28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SUM(OSRRefD22_10x_0)</f>
        <v>0</v>
      </c>
      <c r="E57" s="1"/>
      <c r="F57" s="5">
        <f t="shared" si="44"/>
        <v>0</v>
      </c>
      <c r="G57" s="1"/>
      <c r="H57" s="1">
        <f>SUM(OSRRefH22_10x_0)</f>
        <v>0</v>
      </c>
      <c r="I57" s="1"/>
      <c r="J57" s="5">
        <f t="shared" si="45"/>
        <v>0</v>
      </c>
      <c r="K57" s="1"/>
      <c r="L57" s="1">
        <f t="shared" si="46"/>
        <v>0</v>
      </c>
      <c r="M57" s="1"/>
      <c r="N57" s="5">
        <f t="shared" si="47"/>
        <v>0</v>
      </c>
      <c r="O57" s="14"/>
      <c r="P57" s="1">
        <f>SUM(OSRRefP22_10x_0)</f>
        <v>2000</v>
      </c>
      <c r="Q57" s="1"/>
      <c r="R57" s="5">
        <f t="shared" si="48"/>
        <v>6.4173937038950373E-3</v>
      </c>
      <c r="S57" s="1"/>
      <c r="T57" s="1">
        <f>SUM(OSRRefT22_10x_0)</f>
        <v>0</v>
      </c>
      <c r="U57" s="1"/>
      <c r="V57" s="5">
        <f t="shared" si="49"/>
        <v>0</v>
      </c>
      <c r="W57" s="1"/>
      <c r="X57" s="1">
        <f t="shared" si="50"/>
        <v>2000</v>
      </c>
      <c r="Y57" s="1"/>
      <c r="Z57" s="5">
        <f t="shared" si="51"/>
        <v>0</v>
      </c>
    </row>
    <row r="58" spans="1:26" s="24" customFormat="1" hidden="1" outlineLevel="2" x14ac:dyDescent="0.3">
      <c r="A58" s="27"/>
      <c r="B58" s="11" t="str">
        <f>CONCATENATE("          ", "6376", " - ", "TRAINING")</f>
        <v xml:space="preserve">          6376 - TRAINING</v>
      </c>
      <c r="C58" s="11"/>
      <c r="D58" s="7"/>
      <c r="E58" s="2"/>
      <c r="F58" s="6">
        <f t="shared" si="44"/>
        <v>0</v>
      </c>
      <c r="G58" s="2"/>
      <c r="H58" s="7"/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>
        <v>2000</v>
      </c>
      <c r="Q58" s="2"/>
      <c r="R58" s="6">
        <f t="shared" si="48"/>
        <v>6.4173937038950373E-3</v>
      </c>
      <c r="S58" s="2"/>
      <c r="T58" s="7"/>
      <c r="U58" s="2"/>
      <c r="V58" s="6">
        <f t="shared" si="49"/>
        <v>0</v>
      </c>
      <c r="W58" s="2"/>
      <c r="X58" s="7">
        <f t="shared" si="50"/>
        <v>2000</v>
      </c>
      <c r="Y58" s="2"/>
      <c r="Z58" s="6">
        <f t="shared" si="51"/>
        <v>0</v>
      </c>
    </row>
    <row r="59" spans="1:26" s="52" customFormat="1" x14ac:dyDescent="0.3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3">
      <c r="A60" s="10"/>
      <c r="B60" s="26" t="s">
        <v>292</v>
      </c>
      <c r="C60" s="10"/>
      <c r="D60" s="4">
        <f>SUM(OSRRefD25x_0)</f>
        <v>508.14</v>
      </c>
      <c r="E60" s="4"/>
      <c r="F60" s="12">
        <f t="shared" ref="F60:F61" si="52">IF(D$12=0,0,D60/D$12)</f>
        <v>2.2987559375706852E-2</v>
      </c>
      <c r="G60" s="4"/>
      <c r="H60" s="4">
        <f>SUM(OSRRefH25x_0)</f>
        <v>237</v>
      </c>
      <c r="I60" s="4"/>
      <c r="J60" s="12">
        <f t="shared" ref="J60:J61" si="53">IF(H$12=0,0,H60/H$12)</f>
        <v>6.9738700564971751E-3</v>
      </c>
      <c r="K60" s="4"/>
      <c r="L60" s="4">
        <f t="shared" ref="L60:L61" si="54">+D60-H60</f>
        <v>271.14</v>
      </c>
      <c r="M60" s="4"/>
      <c r="N60" s="12">
        <f t="shared" ref="N60:N61" si="55">IF(H60=0,0,L60/H60)</f>
        <v>1.1440506329113924</v>
      </c>
      <c r="O60" s="10"/>
      <c r="P60" s="4">
        <f>SUM(OSRRefP25x_0)</f>
        <v>6238.54</v>
      </c>
      <c r="Q60" s="4"/>
      <c r="R60" s="12">
        <f t="shared" ref="R60:R61" si="56">IF(P$12=0,0,P60/P$12)</f>
        <v>2.0017583658748672E-2</v>
      </c>
      <c r="S60" s="4"/>
      <c r="T60" s="4">
        <f>SUM(OSRRefT25x_0)</f>
        <v>1497.2</v>
      </c>
      <c r="U60" s="4"/>
      <c r="V60" s="12">
        <f t="shared" ref="V60:V61" si="57">IF(T$12=0,0,T60/T$12)</f>
        <v>4.0502521263012098E-3</v>
      </c>
      <c r="W60" s="4"/>
      <c r="X60" s="4">
        <f t="shared" ref="X60:X61" si="58">+P60-T60</f>
        <v>4741.34</v>
      </c>
      <c r="Y60" s="4"/>
      <c r="Z60" s="12">
        <f t="shared" ref="Z60:Z61" si="59">IF(T60=0,0,X60/T60)</f>
        <v>3.1668047021106065</v>
      </c>
    </row>
    <row r="61" spans="1:26" s="24" customFormat="1" hidden="1" outlineLevel="1" x14ac:dyDescent="0.3">
      <c r="A61" s="44"/>
      <c r="B61" s="11" t="str">
        <f>CONCATENATE("          ", "9150", " - ", "MISC. INCOME")</f>
        <v xml:space="preserve">          9150 - MISC. INCOME</v>
      </c>
      <c r="C61" s="11"/>
      <c r="D61" s="2">
        <f>--508.14</f>
        <v>508.14</v>
      </c>
      <c r="E61" s="2"/>
      <c r="F61" s="19">
        <f t="shared" si="52"/>
        <v>2.2987559375706852E-2</v>
      </c>
      <c r="G61" s="2"/>
      <c r="H61" s="2">
        <f>--237</f>
        <v>237</v>
      </c>
      <c r="I61" s="2"/>
      <c r="J61" s="19">
        <f t="shared" si="53"/>
        <v>6.9738700564971751E-3</v>
      </c>
      <c r="K61" s="2"/>
      <c r="L61" s="2">
        <f t="shared" si="54"/>
        <v>271.14</v>
      </c>
      <c r="M61" s="2"/>
      <c r="N61" s="19">
        <f t="shared" si="55"/>
        <v>1.1440506329113924</v>
      </c>
      <c r="O61" s="11"/>
      <c r="P61" s="2">
        <f>--6238.54</f>
        <v>6238.54</v>
      </c>
      <c r="Q61" s="2"/>
      <c r="R61" s="19">
        <f t="shared" si="56"/>
        <v>2.0017583658748672E-2</v>
      </c>
      <c r="S61" s="2"/>
      <c r="T61" s="2">
        <f>--1497.2</f>
        <v>1497.2</v>
      </c>
      <c r="U61" s="2"/>
      <c r="V61" s="19">
        <f t="shared" si="57"/>
        <v>4.0502521263012098E-3</v>
      </c>
      <c r="W61" s="2"/>
      <c r="X61" s="2">
        <f t="shared" si="58"/>
        <v>4741.34</v>
      </c>
      <c r="Y61" s="2"/>
      <c r="Z61" s="19">
        <f t="shared" si="59"/>
        <v>3.1668047021106065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10"/>
      <c r="B63" s="25" t="s">
        <v>276</v>
      </c>
      <c r="C63" s="25"/>
      <c r="D63" s="21">
        <f>+D17-D19+D60</f>
        <v>-1348.2700000000036</v>
      </c>
      <c r="E63" s="13"/>
      <c r="F63" s="22">
        <f>IF(D$12=0,0,D63/D$12)</f>
        <v>-6.0993892784438071E-2</v>
      </c>
      <c r="G63" s="13"/>
      <c r="H63" s="21">
        <f>+H17-H19+H60</f>
        <v>10869.900000000005</v>
      </c>
      <c r="I63" s="13"/>
      <c r="J63" s="22">
        <f>IF(H$12=0,0,H63/H$12)</f>
        <v>0.31985346045197754</v>
      </c>
      <c r="K63" s="15"/>
      <c r="L63" s="21">
        <f>+D63-H63</f>
        <v>-12218.170000000009</v>
      </c>
      <c r="M63" s="15"/>
      <c r="N63" s="22">
        <f>IF(H63=0,0,L63/H63)</f>
        <v>-1.1240370196597949</v>
      </c>
      <c r="O63" s="26"/>
      <c r="P63" s="21">
        <f>+P17-P19+P60</f>
        <v>34853.230000000061</v>
      </c>
      <c r="Q63" s="13"/>
      <c r="R63" s="22">
        <f>IF(P$12=0,0,P63/P$12)</f>
        <v>0.11183344938120302</v>
      </c>
      <c r="S63" s="13"/>
      <c r="T63" s="21">
        <f>+T17-T19+T60</f>
        <v>62106.90999999996</v>
      </c>
      <c r="U63" s="13"/>
      <c r="V63" s="22">
        <f>IF(T$12=0,0,T63/T$12)</f>
        <v>0.16801271993420899</v>
      </c>
      <c r="W63" s="15"/>
      <c r="X63" s="21">
        <f>+P63-T63</f>
        <v>-27253.679999999898</v>
      </c>
      <c r="Y63" s="15"/>
      <c r="Z63" s="22">
        <f>IF(T63=0,0,X63/T63)</f>
        <v>-0.43881880454203753</v>
      </c>
    </row>
    <row r="64" spans="1:26" x14ac:dyDescent="0.3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51"/>
      <c r="B65" s="10" t="s">
        <v>127</v>
      </c>
      <c r="C65" s="10"/>
      <c r="D65" s="4">
        <v>6399.57</v>
      </c>
      <c r="E65" s="4"/>
      <c r="F65" s="12">
        <f>IF(D$12=0,0,D65/D$12)</f>
        <v>0.28950780366432932</v>
      </c>
      <c r="G65" s="4"/>
      <c r="H65" s="4">
        <v>4995.91</v>
      </c>
      <c r="I65" s="4"/>
      <c r="J65" s="12">
        <f>IF(H$12=0,0,H65/H$12)</f>
        <v>0.1470077095103578</v>
      </c>
      <c r="K65" s="4"/>
      <c r="L65" s="4">
        <f>+D65-H65</f>
        <v>1403.6599999999999</v>
      </c>
      <c r="M65" s="4"/>
      <c r="N65" s="12">
        <f>IF(H65=0,0,L65/H65)</f>
        <v>0.28096182677430137</v>
      </c>
      <c r="O65" s="10"/>
      <c r="P65" s="4">
        <v>41252.69</v>
      </c>
      <c r="Q65" s="4"/>
      <c r="R65" s="12">
        <f>IF(P$12=0,0,P65/P$12)</f>
        <v>0.13236737653736688</v>
      </c>
      <c r="S65" s="4"/>
      <c r="T65" s="4">
        <v>67102.34</v>
      </c>
      <c r="U65" s="4"/>
      <c r="V65" s="12">
        <f>IF(T$12=0,0,T65/T$12)</f>
        <v>0.18152644620944877</v>
      </c>
      <c r="W65" s="4"/>
      <c r="X65" s="4">
        <f>+P65-T65</f>
        <v>-25849.649999999994</v>
      </c>
      <c r="Y65" s="4"/>
      <c r="Z65" s="12">
        <f>IF(T65=0,0,X65/T65)</f>
        <v>-0.38522725138944475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5" t="s">
        <v>125</v>
      </c>
      <c r="C67" s="25"/>
      <c r="D67" s="36">
        <f>+D63-D65</f>
        <v>-7747.8400000000038</v>
      </c>
      <c r="E67" s="13"/>
      <c r="F67" s="31">
        <f>IF(D$12=0,0,D67/D$12)</f>
        <v>-0.35050169644876744</v>
      </c>
      <c r="G67" s="13"/>
      <c r="H67" s="36">
        <f>+H63-H65</f>
        <v>5873.9900000000052</v>
      </c>
      <c r="I67" s="13"/>
      <c r="J67" s="31">
        <f>IF(H$12=0,0,H67/H$12)</f>
        <v>0.17284575094161975</v>
      </c>
      <c r="K67" s="15"/>
      <c r="L67" s="36">
        <f>D67-H67</f>
        <v>-13621.830000000009</v>
      </c>
      <c r="M67" s="15"/>
      <c r="N67" s="31">
        <f>IF(H67=0,0,L67/H67)</f>
        <v>-2.3190080337215413</v>
      </c>
      <c r="O67" s="26"/>
      <c r="P67" s="36">
        <f>+P63-P65</f>
        <v>-6399.4599999999409</v>
      </c>
      <c r="Q67" s="13"/>
      <c r="R67" s="31">
        <f>IF(P$12=0,0,P67/P$12)</f>
        <v>-2.0533927156163877E-2</v>
      </c>
      <c r="S67" s="13"/>
      <c r="T67" s="36">
        <f>+T63-T65</f>
        <v>-4995.4300000000367</v>
      </c>
      <c r="U67" s="13"/>
      <c r="V67" s="31">
        <f>IF(T$12=0,0,T67/T$12)</f>
        <v>-1.3513726275239781E-2</v>
      </c>
      <c r="W67" s="15"/>
      <c r="X67" s="36">
        <f>P67-T67</f>
        <v>-1404.0299999999042</v>
      </c>
      <c r="Y67" s="15"/>
      <c r="Z67" s="31">
        <f>IF(T67=0,0,X67/T67)</f>
        <v>0.28106289148279406</v>
      </c>
    </row>
    <row r="68" spans="1:26" ht="15" thickTop="1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3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293</v>
      </c>
      <c r="C70" s="25"/>
      <c r="D70" s="35">
        <f>SUM(D67:D69)</f>
        <v>-7747.8400000000038</v>
      </c>
      <c r="E70" s="13"/>
      <c r="F70" s="32">
        <f>IF(D$12=0,0,D70/D$12)</f>
        <v>-0.35050169644876744</v>
      </c>
      <c r="G70" s="13"/>
      <c r="H70" s="35">
        <f>SUM(H67:H69)</f>
        <v>5873.9900000000052</v>
      </c>
      <c r="I70" s="13"/>
      <c r="J70" s="32">
        <f>IF(H$12=0,0,H70/H$12)</f>
        <v>0.17284575094161975</v>
      </c>
      <c r="K70" s="15"/>
      <c r="L70" s="35">
        <f>+D70-H70</f>
        <v>-13621.830000000009</v>
      </c>
      <c r="M70" s="15"/>
      <c r="N70" s="32">
        <f>IF(H70=0,0,L70/H70)</f>
        <v>-2.3190080337215413</v>
      </c>
      <c r="O70" s="26"/>
      <c r="P70" s="35">
        <f>SUM(P67:P69)</f>
        <v>-6399.4599999999409</v>
      </c>
      <c r="Q70" s="13"/>
      <c r="R70" s="32">
        <f>IF(P$12=0,0,P70/P$12)</f>
        <v>-2.0533927156163877E-2</v>
      </c>
      <c r="S70" s="13"/>
      <c r="T70" s="35">
        <f>SUM(T67:T69)</f>
        <v>-4995.4300000000367</v>
      </c>
      <c r="U70" s="13"/>
      <c r="V70" s="32">
        <f>IF(T$12=0,0,T70/T$12)</f>
        <v>-1.3513726275239781E-2</v>
      </c>
      <c r="W70" s="15"/>
      <c r="X70" s="35">
        <f>+P70-T70</f>
        <v>-1404.0299999999042</v>
      </c>
      <c r="Y70" s="15"/>
      <c r="Z70" s="32">
        <f>IF(T70=0,0,X70/T70)</f>
        <v>0.28106289148279406</v>
      </c>
    </row>
    <row r="71" spans="1:26" ht="15" thickTop="1" x14ac:dyDescent="0.3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4">
        <v>44604.028447488425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A73" s="9"/>
      <c r="B73" s="53" t="s">
        <v>56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59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","501", " - ", "ID Card Services")</f>
        <v>Department 501 - ID Card Services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22105</v>
      </c>
      <c r="E12" s="4"/>
      <c r="F12" s="12"/>
      <c r="G12" s="4"/>
      <c r="H12" s="4">
        <f>SUM(OSRRefH13x_0)</f>
        <v>33984</v>
      </c>
      <c r="I12" s="4"/>
      <c r="J12" s="12"/>
      <c r="K12" s="4"/>
      <c r="L12" s="4">
        <f t="shared" ref="L12:L13" si="0">+D12-H12</f>
        <v>-11879</v>
      </c>
      <c r="M12" s="4"/>
      <c r="N12" s="12">
        <f t="shared" ref="N12:N13" si="1">IF(H12=0,0,L12/H12)</f>
        <v>-0.34954684557438792</v>
      </c>
      <c r="O12" s="10"/>
      <c r="P12" s="4">
        <f>SUM(OSRRefP13x_0)</f>
        <v>311653</v>
      </c>
      <c r="Q12" s="4"/>
      <c r="R12" s="12"/>
      <c r="S12" s="4"/>
      <c r="T12" s="4">
        <f>SUM(OSRRefT13x_0)</f>
        <v>369656</v>
      </c>
      <c r="U12" s="4"/>
      <c r="V12" s="12"/>
      <c r="W12" s="4"/>
      <c r="X12" s="4">
        <f t="shared" ref="X12:X13" si="2">+P12-T12</f>
        <v>-58003</v>
      </c>
      <c r="Y12" s="4"/>
      <c r="Z12" s="12">
        <f t="shared" ref="Z12:Z13" si="3">IF(T12=0,0,X12/T12)</f>
        <v>-0.15691074945354599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--22105</f>
        <v>22105</v>
      </c>
      <c r="E13" s="2"/>
      <c r="F13" s="19"/>
      <c r="G13" s="2"/>
      <c r="H13" s="2">
        <f>--33984</f>
        <v>33984</v>
      </c>
      <c r="I13" s="2"/>
      <c r="J13" s="19"/>
      <c r="K13" s="2"/>
      <c r="L13" s="2">
        <f t="shared" si="0"/>
        <v>-11879</v>
      </c>
      <c r="M13" s="2"/>
      <c r="N13" s="19">
        <f t="shared" si="1"/>
        <v>-0.34954684557438792</v>
      </c>
      <c r="O13" s="11"/>
      <c r="P13" s="2">
        <f>--311653</f>
        <v>311653</v>
      </c>
      <c r="Q13" s="2"/>
      <c r="R13" s="19"/>
      <c r="S13" s="2"/>
      <c r="T13" s="2">
        <f>--369656</f>
        <v>369656</v>
      </c>
      <c r="U13" s="2"/>
      <c r="V13" s="19"/>
      <c r="W13" s="2"/>
      <c r="X13" s="2">
        <f t="shared" si="2"/>
        <v>-58003</v>
      </c>
      <c r="Y13" s="2"/>
      <c r="Z13" s="19">
        <f t="shared" si="3"/>
        <v>-0.15691074945354599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22105</v>
      </c>
      <c r="E17" s="13"/>
      <c r="F17" s="22">
        <f>IF(D$12=0,0,D17/D$12)</f>
        <v>1</v>
      </c>
      <c r="G17" s="13"/>
      <c r="H17" s="21">
        <f>H12-H15</f>
        <v>33984</v>
      </c>
      <c r="I17" s="13"/>
      <c r="J17" s="22">
        <f>IF(H$12=0,0,H17/H$12)</f>
        <v>1</v>
      </c>
      <c r="K17" s="15"/>
      <c r="L17" s="21">
        <f>+D17-H17</f>
        <v>-11879</v>
      </c>
      <c r="M17" s="15"/>
      <c r="N17" s="22">
        <f>IF(H17=0,0,L17/H17)</f>
        <v>-0.34954684557438792</v>
      </c>
      <c r="O17" s="26"/>
      <c r="P17" s="21">
        <f>P12-P15</f>
        <v>311653</v>
      </c>
      <c r="Q17" s="13"/>
      <c r="R17" s="22">
        <f>IF(P$12=0,0,P17/P$12)</f>
        <v>1</v>
      </c>
      <c r="S17" s="13"/>
      <c r="T17" s="21">
        <f>T12-T15</f>
        <v>369656</v>
      </c>
      <c r="U17" s="13"/>
      <c r="V17" s="22">
        <f>IF(T$12=0,0,T17/T$12)</f>
        <v>1</v>
      </c>
      <c r="W17" s="15"/>
      <c r="X17" s="21">
        <f>+P17-T17</f>
        <v>-58003</v>
      </c>
      <c r="Y17" s="15"/>
      <c r="Z17" s="22">
        <f>IF(T17=0,0,X17/T17)</f>
        <v>-0.15691074945354599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23961.410000000003</v>
      </c>
      <c r="E19" s="20"/>
      <c r="F19" s="30">
        <f t="shared" ref="F19:F29" si="4">IF(D$12=0,0,D19/D$12)</f>
        <v>1.083981452160145</v>
      </c>
      <c r="G19" s="20"/>
      <c r="H19" s="20">
        <f>SUM(OSRRefH22x_0)</f>
        <v>23351.099999999995</v>
      </c>
      <c r="I19" s="20"/>
      <c r="J19" s="30">
        <f t="shared" ref="J19:J29" si="5">IF(H$12=0,0,H19/H$12)</f>
        <v>0.68712040960451959</v>
      </c>
      <c r="K19" s="4"/>
      <c r="L19" s="20">
        <f t="shared" ref="L19:L29" si="6">+D19-H19</f>
        <v>610.31000000000859</v>
      </c>
      <c r="M19" s="4"/>
      <c r="N19" s="30">
        <f t="shared" ref="N19:N29" si="7">IF(H19=0,0,L19/H19)</f>
        <v>2.6136241975753122E-2</v>
      </c>
      <c r="O19" s="10"/>
      <c r="P19" s="20">
        <f>SUM(OSRRefP22x_0)</f>
        <v>283038.30999999994</v>
      </c>
      <c r="Q19" s="20"/>
      <c r="R19" s="30">
        <f t="shared" ref="R19:R29" si="8">IF(P$12=0,0,P19/P$12)</f>
        <v>0.90818413427754563</v>
      </c>
      <c r="S19" s="20"/>
      <c r="T19" s="20">
        <f>SUM(OSRRefT22x_0)</f>
        <v>309046.29000000004</v>
      </c>
      <c r="U19" s="20"/>
      <c r="V19" s="30">
        <f t="shared" ref="V19:V29" si="9">IF(T$12=0,0,T19/T$12)</f>
        <v>0.8360375321920922</v>
      </c>
      <c r="W19" s="4"/>
      <c r="X19" s="20">
        <f t="shared" ref="X19:X29" si="10">+P19-T19</f>
        <v>-26007.980000000098</v>
      </c>
      <c r="Y19" s="4"/>
      <c r="Z19" s="30">
        <f t="shared" ref="Z19:Z29" si="11">IF(T19=0,0,X19/T19)</f>
        <v>-8.4155613063661414E-2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4516.5</v>
      </c>
      <c r="E20" s="1"/>
      <c r="F20" s="5">
        <f t="shared" si="4"/>
        <v>0.20432028952725628</v>
      </c>
      <c r="G20" s="1"/>
      <c r="H20" s="1">
        <f>SUM(OSRRefH22_0x_0)</f>
        <v>4647.2599999999993</v>
      </c>
      <c r="I20" s="1"/>
      <c r="J20" s="5">
        <f t="shared" si="5"/>
        <v>0.13674846986817324</v>
      </c>
      <c r="K20" s="1"/>
      <c r="L20" s="1">
        <f t="shared" si="6"/>
        <v>-130.75999999999931</v>
      </c>
      <c r="M20" s="1"/>
      <c r="N20" s="5">
        <f t="shared" si="7"/>
        <v>-2.8137009764893577E-2</v>
      </c>
      <c r="O20" s="14"/>
      <c r="P20" s="1">
        <f>SUM(OSRRefP22_0x_0)</f>
        <v>28009.32</v>
      </c>
      <c r="Q20" s="1"/>
      <c r="R20" s="5">
        <f t="shared" si="8"/>
        <v>8.9873416909190665E-2</v>
      </c>
      <c r="S20" s="1"/>
      <c r="T20" s="1">
        <f>SUM(OSRRefT22_0x_0)</f>
        <v>29892.89</v>
      </c>
      <c r="U20" s="1"/>
      <c r="V20" s="5">
        <f t="shared" si="9"/>
        <v>8.0866778843032436E-2</v>
      </c>
      <c r="W20" s="1"/>
      <c r="X20" s="1">
        <f t="shared" si="10"/>
        <v>-1883.5699999999997</v>
      </c>
      <c r="Y20" s="1"/>
      <c r="Z20" s="5">
        <f t="shared" si="11"/>
        <v>-6.3010635639444687E-2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766.9</v>
      </c>
      <c r="E21" s="2"/>
      <c r="F21" s="6">
        <f t="shared" si="4"/>
        <v>3.4693508256050665E-2</v>
      </c>
      <c r="G21" s="2"/>
      <c r="H21" s="7">
        <v>829.91</v>
      </c>
      <c r="I21" s="2"/>
      <c r="J21" s="6">
        <f t="shared" si="5"/>
        <v>2.4420609698681733E-2</v>
      </c>
      <c r="K21" s="2"/>
      <c r="L21" s="7">
        <f t="shared" si="6"/>
        <v>-63.009999999999991</v>
      </c>
      <c r="M21" s="2"/>
      <c r="N21" s="6">
        <f t="shared" si="7"/>
        <v>-7.5923895362147692E-2</v>
      </c>
      <c r="O21" s="11"/>
      <c r="P21" s="7">
        <v>7466.2</v>
      </c>
      <c r="Q21" s="2"/>
      <c r="R21" s="6">
        <f t="shared" si="8"/>
        <v>2.3956772436010562E-2</v>
      </c>
      <c r="S21" s="2"/>
      <c r="T21" s="7">
        <v>7120.78</v>
      </c>
      <c r="U21" s="2"/>
      <c r="V21" s="6">
        <f t="shared" si="9"/>
        <v>1.9263260977773929E-2</v>
      </c>
      <c r="W21" s="2"/>
      <c r="X21" s="7">
        <f t="shared" si="10"/>
        <v>345.42000000000007</v>
      </c>
      <c r="Y21" s="2"/>
      <c r="Z21" s="6">
        <f t="shared" si="11"/>
        <v>4.8508730785110629E-2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130.47999999999999</v>
      </c>
      <c r="E22" s="2"/>
      <c r="F22" s="6">
        <f t="shared" si="4"/>
        <v>5.9027369373444915E-3</v>
      </c>
      <c r="G22" s="2"/>
      <c r="H22" s="7">
        <v>-13.7</v>
      </c>
      <c r="I22" s="2"/>
      <c r="J22" s="6">
        <f t="shared" si="5"/>
        <v>-4.031308851224105E-4</v>
      </c>
      <c r="K22" s="2"/>
      <c r="L22" s="7">
        <f t="shared" si="6"/>
        <v>144.17999999999998</v>
      </c>
      <c r="M22" s="2"/>
      <c r="N22" s="6">
        <f t="shared" si="7"/>
        <v>-10.524087591240875</v>
      </c>
      <c r="O22" s="11"/>
      <c r="P22" s="7">
        <v>1163.08</v>
      </c>
      <c r="Q22" s="2"/>
      <c r="R22" s="6">
        <f t="shared" si="8"/>
        <v>3.7319711345631195E-3</v>
      </c>
      <c r="S22" s="2"/>
      <c r="T22" s="7">
        <v>653.82000000000005</v>
      </c>
      <c r="U22" s="2"/>
      <c r="V22" s="6">
        <f t="shared" si="9"/>
        <v>1.7687255177786917E-3</v>
      </c>
      <c r="W22" s="2"/>
      <c r="X22" s="7">
        <f t="shared" si="10"/>
        <v>509.25999999999988</v>
      </c>
      <c r="Y22" s="2"/>
      <c r="Z22" s="6">
        <f t="shared" si="11"/>
        <v>0.77889939126976815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964.7</v>
      </c>
      <c r="E23" s="2"/>
      <c r="F23" s="6">
        <f t="shared" si="4"/>
        <v>4.364171002035739E-2</v>
      </c>
      <c r="G23" s="2"/>
      <c r="H23" s="7">
        <v>1207.95</v>
      </c>
      <c r="I23" s="2"/>
      <c r="J23" s="6">
        <f t="shared" si="5"/>
        <v>3.5544668079096044E-2</v>
      </c>
      <c r="K23" s="2"/>
      <c r="L23" s="7">
        <f t="shared" si="6"/>
        <v>-243.25</v>
      </c>
      <c r="M23" s="2"/>
      <c r="N23" s="6">
        <f t="shared" si="7"/>
        <v>-0.20137422906577257</v>
      </c>
      <c r="O23" s="11"/>
      <c r="P23" s="7">
        <v>7290.8</v>
      </c>
      <c r="Q23" s="2"/>
      <c r="R23" s="6">
        <f t="shared" si="8"/>
        <v>2.339396700817897E-2</v>
      </c>
      <c r="S23" s="2"/>
      <c r="T23" s="7">
        <v>8610.9500000000007</v>
      </c>
      <c r="U23" s="2"/>
      <c r="V23" s="6">
        <f t="shared" si="9"/>
        <v>2.3294495422771445E-2</v>
      </c>
      <c r="W23" s="2"/>
      <c r="X23" s="7">
        <f t="shared" si="10"/>
        <v>-1320.1500000000005</v>
      </c>
      <c r="Y23" s="2"/>
      <c r="Z23" s="6">
        <f t="shared" si="11"/>
        <v>-0.15331061032754811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25.77</v>
      </c>
      <c r="E24" s="2"/>
      <c r="F24" s="6">
        <f t="shared" si="4"/>
        <v>1.1657995928522958E-3</v>
      </c>
      <c r="G24" s="2"/>
      <c r="H24" s="7">
        <v>69.959999999999994</v>
      </c>
      <c r="I24" s="2"/>
      <c r="J24" s="6">
        <f t="shared" si="5"/>
        <v>2.0586158192090393E-3</v>
      </c>
      <c r="K24" s="2"/>
      <c r="L24" s="7">
        <f t="shared" si="6"/>
        <v>-44.19</v>
      </c>
      <c r="M24" s="2"/>
      <c r="N24" s="6">
        <f t="shared" si="7"/>
        <v>-0.63164665523156094</v>
      </c>
      <c r="O24" s="11"/>
      <c r="P24" s="7">
        <v>230.06</v>
      </c>
      <c r="Q24" s="2"/>
      <c r="R24" s="6">
        <f t="shared" si="8"/>
        <v>7.3819279775904614E-4</v>
      </c>
      <c r="S24" s="2"/>
      <c r="T24" s="7">
        <v>284.56</v>
      </c>
      <c r="U24" s="2"/>
      <c r="V24" s="6">
        <f t="shared" si="9"/>
        <v>7.6979678403705067E-4</v>
      </c>
      <c r="W24" s="2"/>
      <c r="X24" s="7">
        <f t="shared" si="10"/>
        <v>-54.5</v>
      </c>
      <c r="Y24" s="2"/>
      <c r="Z24" s="6">
        <f t="shared" si="11"/>
        <v>-0.19152375597413551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610.04</v>
      </c>
      <c r="E25" s="2"/>
      <c r="F25" s="6">
        <f t="shared" si="4"/>
        <v>2.7597376159239989E-2</v>
      </c>
      <c r="G25" s="2"/>
      <c r="H25" s="7">
        <v>960.53</v>
      </c>
      <c r="I25" s="2"/>
      <c r="J25" s="6">
        <f t="shared" si="5"/>
        <v>2.8264183145009416E-2</v>
      </c>
      <c r="K25" s="2"/>
      <c r="L25" s="7">
        <f t="shared" si="6"/>
        <v>-350.49</v>
      </c>
      <c r="M25" s="2"/>
      <c r="N25" s="6">
        <f t="shared" si="7"/>
        <v>-0.36489229904323656</v>
      </c>
      <c r="O25" s="11"/>
      <c r="P25" s="7">
        <v>4469.7299999999996</v>
      </c>
      <c r="Q25" s="2"/>
      <c r="R25" s="6">
        <f t="shared" si="8"/>
        <v>1.434200858005538E-2</v>
      </c>
      <c r="S25" s="2"/>
      <c r="T25" s="7">
        <v>5780.23</v>
      </c>
      <c r="U25" s="2"/>
      <c r="V25" s="6">
        <f t="shared" si="9"/>
        <v>1.5636781223624125E-2</v>
      </c>
      <c r="W25" s="2"/>
      <c r="X25" s="7">
        <f t="shared" si="10"/>
        <v>-1310.5</v>
      </c>
      <c r="Y25" s="2"/>
      <c r="Z25" s="6">
        <f t="shared" si="11"/>
        <v>-0.2267210820330679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4"/>
        <v>0</v>
      </c>
      <c r="G26" s="2"/>
      <c r="H26" s="7">
        <v>85.33</v>
      </c>
      <c r="I26" s="2"/>
      <c r="J26" s="6">
        <f t="shared" si="5"/>
        <v>2.5108874764595101E-3</v>
      </c>
      <c r="K26" s="2"/>
      <c r="L26" s="7">
        <f t="shared" si="6"/>
        <v>-85.33</v>
      </c>
      <c r="M26" s="2"/>
      <c r="N26" s="6">
        <f t="shared" si="7"/>
        <v>-1</v>
      </c>
      <c r="O26" s="11"/>
      <c r="P26" s="7">
        <v>215.15</v>
      </c>
      <c r="Q26" s="2"/>
      <c r="R26" s="6">
        <f t="shared" si="8"/>
        <v>6.903511276965086E-4</v>
      </c>
      <c r="S26" s="2"/>
      <c r="T26" s="7">
        <v>609.94000000000005</v>
      </c>
      <c r="U26" s="2"/>
      <c r="V26" s="6">
        <f t="shared" si="9"/>
        <v>1.6500205596554636E-3</v>
      </c>
      <c r="W26" s="2"/>
      <c r="X26" s="7">
        <f t="shared" si="10"/>
        <v>-394.79000000000008</v>
      </c>
      <c r="Y26" s="2"/>
      <c r="Z26" s="6">
        <f t="shared" si="11"/>
        <v>-0.64726038626750182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1087.24</v>
      </c>
      <c r="E27" s="2"/>
      <c r="F27" s="6">
        <f t="shared" si="4"/>
        <v>4.9185252205383397E-2</v>
      </c>
      <c r="G27" s="2"/>
      <c r="H27" s="7">
        <v>520.02</v>
      </c>
      <c r="I27" s="2"/>
      <c r="J27" s="6">
        <f t="shared" si="5"/>
        <v>1.5301906779661017E-2</v>
      </c>
      <c r="K27" s="2"/>
      <c r="L27" s="7">
        <f t="shared" si="6"/>
        <v>567.22</v>
      </c>
      <c r="M27" s="2"/>
      <c r="N27" s="6">
        <f t="shared" si="7"/>
        <v>1.0907657397792394</v>
      </c>
      <c r="O27" s="11"/>
      <c r="P27" s="7">
        <v>4131.6499999999996</v>
      </c>
      <c r="Q27" s="2"/>
      <c r="R27" s="6">
        <f t="shared" si="8"/>
        <v>1.3257212348348963E-2</v>
      </c>
      <c r="S27" s="2"/>
      <c r="T27" s="7">
        <v>3900.15</v>
      </c>
      <c r="U27" s="2"/>
      <c r="V27" s="6">
        <f t="shared" si="9"/>
        <v>1.05507552968165E-2</v>
      </c>
      <c r="W27" s="2"/>
      <c r="X27" s="7">
        <f t="shared" si="10"/>
        <v>231.49999999999955</v>
      </c>
      <c r="Y27" s="2"/>
      <c r="Z27" s="6">
        <f t="shared" si="11"/>
        <v>5.9356691409304656E-2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857.62</v>
      </c>
      <c r="E28" s="2"/>
      <c r="F28" s="6">
        <f t="shared" si="4"/>
        <v>3.8797557113775166E-2</v>
      </c>
      <c r="G28" s="2"/>
      <c r="H28" s="7">
        <v>299.26</v>
      </c>
      <c r="I28" s="2"/>
      <c r="J28" s="6">
        <f t="shared" si="5"/>
        <v>8.8059086629001873E-3</v>
      </c>
      <c r="K28" s="2"/>
      <c r="L28" s="7">
        <f t="shared" si="6"/>
        <v>558.36</v>
      </c>
      <c r="M28" s="2"/>
      <c r="N28" s="6">
        <f t="shared" si="7"/>
        <v>1.8658023123705141</v>
      </c>
      <c r="O28" s="11"/>
      <c r="P28" s="7">
        <v>2613.9</v>
      </c>
      <c r="Q28" s="2"/>
      <c r="R28" s="6">
        <f t="shared" si="8"/>
        <v>8.3872127013056193E-3</v>
      </c>
      <c r="S28" s="2"/>
      <c r="T28" s="7">
        <v>2244.46</v>
      </c>
      <c r="U28" s="2"/>
      <c r="V28" s="6">
        <f t="shared" si="9"/>
        <v>6.0717531975674685E-3</v>
      </c>
      <c r="W28" s="2"/>
      <c r="X28" s="7">
        <f t="shared" si="10"/>
        <v>369.44000000000005</v>
      </c>
      <c r="Y28" s="2"/>
      <c r="Z28" s="6">
        <f t="shared" si="11"/>
        <v>0.16460083940012299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73.75</v>
      </c>
      <c r="E29" s="2"/>
      <c r="F29" s="6">
        <f t="shared" si="4"/>
        <v>3.3363492422528842E-3</v>
      </c>
      <c r="G29" s="2"/>
      <c r="H29" s="7">
        <v>688</v>
      </c>
      <c r="I29" s="2"/>
      <c r="J29" s="6">
        <f t="shared" si="5"/>
        <v>2.0244821092278719E-2</v>
      </c>
      <c r="K29" s="2"/>
      <c r="L29" s="7">
        <f t="shared" si="6"/>
        <v>-614.25</v>
      </c>
      <c r="M29" s="2"/>
      <c r="N29" s="6">
        <f t="shared" si="7"/>
        <v>-0.89280523255813948</v>
      </c>
      <c r="O29" s="11"/>
      <c r="P29" s="7">
        <v>428.75</v>
      </c>
      <c r="Q29" s="2"/>
      <c r="R29" s="6">
        <f t="shared" si="8"/>
        <v>1.3757287752724986E-3</v>
      </c>
      <c r="S29" s="2"/>
      <c r="T29" s="7">
        <v>688</v>
      </c>
      <c r="U29" s="2"/>
      <c r="V29" s="6">
        <f t="shared" si="9"/>
        <v>1.8611898630077695E-3</v>
      </c>
      <c r="W29" s="2"/>
      <c r="X29" s="7">
        <f t="shared" si="10"/>
        <v>-259.25</v>
      </c>
      <c r="Y29" s="2"/>
      <c r="Z29" s="6">
        <f t="shared" si="11"/>
        <v>-0.37681686046511625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14348.74</v>
      </c>
      <c r="E30" s="1"/>
      <c r="F30" s="5">
        <f t="shared" ref="F30:F36" si="12">IF(D$12=0,0,D30/D$12)</f>
        <v>0.6491173942546935</v>
      </c>
      <c r="G30" s="1"/>
      <c r="H30" s="1">
        <f>SUM(OSRRefH22_1x_0)</f>
        <v>16962.05</v>
      </c>
      <c r="I30" s="1"/>
      <c r="J30" s="5">
        <f t="shared" ref="J30:J36" si="13">IF(H$12=0,0,H30/H$12)</f>
        <v>0.49911870291902072</v>
      </c>
      <c r="K30" s="1"/>
      <c r="L30" s="1">
        <f t="shared" ref="L30:L36" si="14">+D30-H30</f>
        <v>-2613.3099999999995</v>
      </c>
      <c r="M30" s="1"/>
      <c r="N30" s="5">
        <f t="shared" ref="N30:N36" si="15">IF(H30=0,0,L30/H30)</f>
        <v>-0.15406805191589457</v>
      </c>
      <c r="O30" s="14"/>
      <c r="P30" s="1">
        <f>SUM(OSRRefP22_1x_0)</f>
        <v>103311.95</v>
      </c>
      <c r="Q30" s="1"/>
      <c r="R30" s="5">
        <f t="shared" ref="R30:R36" si="16">IF(P$12=0,0,P30/P$12)</f>
        <v>0.33149672873355945</v>
      </c>
      <c r="S30" s="1"/>
      <c r="T30" s="1">
        <f>SUM(OSRRefT22_1x_0)</f>
        <v>102177.42</v>
      </c>
      <c r="U30" s="1"/>
      <c r="V30" s="5">
        <f t="shared" ref="V30:V36" si="17">IF(T$12=0,0,T30/T$12)</f>
        <v>0.27641217780855715</v>
      </c>
      <c r="W30" s="1"/>
      <c r="X30" s="1">
        <f t="shared" ref="X30:X36" si="18">+P30-T30</f>
        <v>1134.5299999999988</v>
      </c>
      <c r="Y30" s="1"/>
      <c r="Z30" s="5">
        <f t="shared" ref="Z30:Z36" si="19">IF(T30=0,0,X30/T30)</f>
        <v>1.1103529527365232E-2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5356.44</v>
      </c>
      <c r="E31" s="2"/>
      <c r="F31" s="6">
        <f t="shared" si="12"/>
        <v>0.24231802759556659</v>
      </c>
      <c r="G31" s="2"/>
      <c r="H31" s="7">
        <v>5257.72</v>
      </c>
      <c r="I31" s="2"/>
      <c r="J31" s="6">
        <f t="shared" si="13"/>
        <v>0.15471162900188323</v>
      </c>
      <c r="K31" s="2"/>
      <c r="L31" s="7">
        <f t="shared" si="14"/>
        <v>98.719999999999345</v>
      </c>
      <c r="M31" s="2"/>
      <c r="N31" s="6">
        <f t="shared" si="15"/>
        <v>1.8776199569394973E-2</v>
      </c>
      <c r="O31" s="11"/>
      <c r="P31" s="7">
        <v>33691.230000000003</v>
      </c>
      <c r="Q31" s="2"/>
      <c r="R31" s="6">
        <f t="shared" si="16"/>
        <v>0.10810494363923981</v>
      </c>
      <c r="S31" s="2"/>
      <c r="T31" s="7">
        <v>30912.61</v>
      </c>
      <c r="U31" s="2"/>
      <c r="V31" s="6">
        <f t="shared" si="17"/>
        <v>8.362534356266367E-2</v>
      </c>
      <c r="W31" s="2"/>
      <c r="X31" s="7">
        <f t="shared" si="18"/>
        <v>2778.6200000000026</v>
      </c>
      <c r="Y31" s="2"/>
      <c r="Z31" s="6">
        <f t="shared" si="19"/>
        <v>8.9886295592640109E-2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>
        <v>1700</v>
      </c>
      <c r="E32" s="2"/>
      <c r="F32" s="6">
        <f t="shared" si="12"/>
        <v>7.6905677448541057E-2</v>
      </c>
      <c r="G32" s="2"/>
      <c r="H32" s="7">
        <v>2853.3</v>
      </c>
      <c r="I32" s="2"/>
      <c r="J32" s="6">
        <f t="shared" si="13"/>
        <v>8.3960098870056496E-2</v>
      </c>
      <c r="K32" s="2"/>
      <c r="L32" s="7">
        <f t="shared" si="14"/>
        <v>-1153.3000000000002</v>
      </c>
      <c r="M32" s="2"/>
      <c r="N32" s="6">
        <f t="shared" si="15"/>
        <v>-0.40419864718045773</v>
      </c>
      <c r="O32" s="11"/>
      <c r="P32" s="7">
        <v>13252.57</v>
      </c>
      <c r="Q32" s="2"/>
      <c r="R32" s="6">
        <f t="shared" si="16"/>
        <v>4.2523479639214122E-2</v>
      </c>
      <c r="S32" s="2"/>
      <c r="T32" s="7">
        <v>16547.09</v>
      </c>
      <c r="U32" s="2"/>
      <c r="V32" s="6">
        <f t="shared" si="17"/>
        <v>4.476348280563551E-2</v>
      </c>
      <c r="W32" s="2"/>
      <c r="X32" s="7">
        <f t="shared" si="18"/>
        <v>-3294.5200000000004</v>
      </c>
      <c r="Y32" s="2"/>
      <c r="Z32" s="6">
        <f t="shared" si="19"/>
        <v>-0.19909966042367572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858.52</v>
      </c>
      <c r="E33" s="2"/>
      <c r="F33" s="6">
        <f t="shared" si="12"/>
        <v>3.8838271884189098E-2</v>
      </c>
      <c r="G33" s="2"/>
      <c r="H33" s="7"/>
      <c r="I33" s="2"/>
      <c r="J33" s="6">
        <f t="shared" si="13"/>
        <v>0</v>
      </c>
      <c r="K33" s="2"/>
      <c r="L33" s="7">
        <f t="shared" si="14"/>
        <v>858.52</v>
      </c>
      <c r="M33" s="2"/>
      <c r="N33" s="6">
        <f t="shared" si="15"/>
        <v>0</v>
      </c>
      <c r="O33" s="11"/>
      <c r="P33" s="7">
        <v>9010.9</v>
      </c>
      <c r="Q33" s="2"/>
      <c r="R33" s="6">
        <f t="shared" si="16"/>
        <v>2.8913246463213894E-2</v>
      </c>
      <c r="S33" s="2"/>
      <c r="T33" s="7"/>
      <c r="U33" s="2"/>
      <c r="V33" s="6">
        <f t="shared" si="17"/>
        <v>0</v>
      </c>
      <c r="W33" s="2"/>
      <c r="X33" s="7">
        <f t="shared" si="18"/>
        <v>9010.9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3237.63</v>
      </c>
      <c r="E34" s="2"/>
      <c r="F34" s="6">
        <f t="shared" si="12"/>
        <v>0.14646595792807057</v>
      </c>
      <c r="G34" s="2"/>
      <c r="H34" s="7">
        <v>5996.43</v>
      </c>
      <c r="I34" s="2"/>
      <c r="J34" s="6">
        <f t="shared" si="13"/>
        <v>0.17644862288135593</v>
      </c>
      <c r="K34" s="2"/>
      <c r="L34" s="7">
        <f t="shared" si="14"/>
        <v>-2758.8</v>
      </c>
      <c r="M34" s="2"/>
      <c r="N34" s="6">
        <f t="shared" si="15"/>
        <v>-0.46007374387760719</v>
      </c>
      <c r="O34" s="11"/>
      <c r="P34" s="7">
        <v>40265.300000000003</v>
      </c>
      <c r="Q34" s="2"/>
      <c r="R34" s="6">
        <f t="shared" si="16"/>
        <v>0.12919914135272242</v>
      </c>
      <c r="S34" s="2"/>
      <c r="T34" s="7">
        <v>45162.58</v>
      </c>
      <c r="U34" s="2"/>
      <c r="V34" s="6">
        <f t="shared" si="17"/>
        <v>0.12217461640011254</v>
      </c>
      <c r="W34" s="2"/>
      <c r="X34" s="7">
        <f t="shared" si="18"/>
        <v>-4897.2799999999988</v>
      </c>
      <c r="Y34" s="2"/>
      <c r="Z34" s="6">
        <f t="shared" si="19"/>
        <v>-0.10843667478695855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>
        <v>3196.15</v>
      </c>
      <c r="E35" s="2"/>
      <c r="F35" s="6">
        <f t="shared" si="12"/>
        <v>0.14458945939832618</v>
      </c>
      <c r="G35" s="2"/>
      <c r="H35" s="7">
        <v>2263.8000000000002</v>
      </c>
      <c r="I35" s="2"/>
      <c r="J35" s="6">
        <f t="shared" si="13"/>
        <v>6.6613700564971762E-2</v>
      </c>
      <c r="K35" s="2"/>
      <c r="L35" s="7">
        <f t="shared" si="14"/>
        <v>932.34999999999991</v>
      </c>
      <c r="M35" s="2"/>
      <c r="N35" s="6">
        <f t="shared" si="15"/>
        <v>0.41185175368848831</v>
      </c>
      <c r="O35" s="11"/>
      <c r="P35" s="7">
        <v>6927.73</v>
      </c>
      <c r="Q35" s="2"/>
      <c r="R35" s="6">
        <f t="shared" si="16"/>
        <v>2.2228985442142381E-2</v>
      </c>
      <c r="S35" s="2"/>
      <c r="T35" s="7">
        <v>6191.78</v>
      </c>
      <c r="U35" s="2"/>
      <c r="V35" s="6">
        <f t="shared" si="17"/>
        <v>1.6750113619148615E-2</v>
      </c>
      <c r="W35" s="2"/>
      <c r="X35" s="7">
        <f t="shared" si="18"/>
        <v>735.94999999999982</v>
      </c>
      <c r="Y35" s="2"/>
      <c r="Z35" s="6">
        <f t="shared" si="19"/>
        <v>0.11885919719369872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12"/>
        <v>0</v>
      </c>
      <c r="G36" s="2"/>
      <c r="H36" s="7">
        <v>590.79999999999995</v>
      </c>
      <c r="I36" s="2"/>
      <c r="J36" s="6">
        <f t="shared" si="13"/>
        <v>1.7384651600753295E-2</v>
      </c>
      <c r="K36" s="2"/>
      <c r="L36" s="7">
        <f t="shared" si="14"/>
        <v>-590.79999999999995</v>
      </c>
      <c r="M36" s="2"/>
      <c r="N36" s="6">
        <f t="shared" si="15"/>
        <v>-1</v>
      </c>
      <c r="O36" s="11"/>
      <c r="P36" s="7">
        <v>164.22</v>
      </c>
      <c r="Q36" s="2"/>
      <c r="R36" s="6">
        <f t="shared" si="16"/>
        <v>5.2693219702682154E-4</v>
      </c>
      <c r="S36" s="2"/>
      <c r="T36" s="7">
        <v>3363.36</v>
      </c>
      <c r="U36" s="2"/>
      <c r="V36" s="6">
        <f t="shared" si="17"/>
        <v>9.0986214209968184E-3</v>
      </c>
      <c r="W36" s="2"/>
      <c r="X36" s="7">
        <f t="shared" si="18"/>
        <v>-3199.1400000000003</v>
      </c>
      <c r="Y36" s="2"/>
      <c r="Z36" s="6">
        <f t="shared" si="19"/>
        <v>-0.95117382617382629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3.6085004797001789E-4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0"/>
        <v>0</v>
      </c>
      <c r="G38" s="2"/>
      <c r="H38" s="7"/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>
        <v>112.46</v>
      </c>
      <c r="Q38" s="2"/>
      <c r="R38" s="6">
        <f t="shared" si="24"/>
        <v>3.6085004797001789E-4</v>
      </c>
      <c r="S38" s="2"/>
      <c r="T38" s="7"/>
      <c r="U38" s="2"/>
      <c r="V38" s="6">
        <f t="shared" si="25"/>
        <v>0</v>
      </c>
      <c r="W38" s="2"/>
      <c r="X38" s="7">
        <f t="shared" si="26"/>
        <v>112.46</v>
      </c>
      <c r="Y38" s="2"/>
      <c r="Z38" s="6">
        <f t="shared" si="27"/>
        <v>0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89.97</v>
      </c>
      <c r="E39" s="1"/>
      <c r="F39" s="5">
        <f t="shared" si="20"/>
        <v>4.0701198823795519E-3</v>
      </c>
      <c r="G39" s="1"/>
      <c r="H39" s="1">
        <f>SUM(OSRRefH22_3x_0)</f>
        <v>51.31</v>
      </c>
      <c r="I39" s="1"/>
      <c r="J39" s="5">
        <f t="shared" si="21"/>
        <v>1.5098281544256122E-3</v>
      </c>
      <c r="K39" s="1"/>
      <c r="L39" s="1">
        <f t="shared" si="22"/>
        <v>38.659999999999997</v>
      </c>
      <c r="M39" s="1"/>
      <c r="N39" s="5">
        <f t="shared" si="23"/>
        <v>0.75345936464626773</v>
      </c>
      <c r="O39" s="14"/>
      <c r="P39" s="1">
        <f>SUM(OSRRefP22_3x_0)</f>
        <v>1900.47</v>
      </c>
      <c r="Q39" s="1"/>
      <c r="R39" s="5">
        <f t="shared" si="24"/>
        <v>6.0980321062207004E-3</v>
      </c>
      <c r="S39" s="1"/>
      <c r="T39" s="1">
        <f>SUM(OSRRefT22_3x_0)</f>
        <v>670.89</v>
      </c>
      <c r="U39" s="1"/>
      <c r="V39" s="5">
        <f t="shared" si="25"/>
        <v>1.8149035860367476E-3</v>
      </c>
      <c r="W39" s="1"/>
      <c r="X39" s="1">
        <f t="shared" si="26"/>
        <v>1229.58</v>
      </c>
      <c r="Y39" s="1"/>
      <c r="Z39" s="5">
        <f t="shared" si="27"/>
        <v>1.8327594687653712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7">
        <v>89.97</v>
      </c>
      <c r="E40" s="2"/>
      <c r="F40" s="6">
        <f t="shared" si="20"/>
        <v>4.0701198823795519E-3</v>
      </c>
      <c r="G40" s="2"/>
      <c r="H40" s="7">
        <v>51.31</v>
      </c>
      <c r="I40" s="2"/>
      <c r="J40" s="6">
        <f t="shared" si="21"/>
        <v>1.5098281544256122E-3</v>
      </c>
      <c r="K40" s="2"/>
      <c r="L40" s="7">
        <f t="shared" si="22"/>
        <v>38.659999999999997</v>
      </c>
      <c r="M40" s="2"/>
      <c r="N40" s="6">
        <f t="shared" si="23"/>
        <v>0.75345936464626773</v>
      </c>
      <c r="O40" s="11"/>
      <c r="P40" s="7">
        <v>1900.47</v>
      </c>
      <c r="Q40" s="2"/>
      <c r="R40" s="6">
        <f t="shared" si="24"/>
        <v>6.0980321062207004E-3</v>
      </c>
      <c r="S40" s="2"/>
      <c r="T40" s="7">
        <v>670.89</v>
      </c>
      <c r="U40" s="2"/>
      <c r="V40" s="6">
        <f t="shared" si="25"/>
        <v>1.8149035860367476E-3</v>
      </c>
      <c r="W40" s="2"/>
      <c r="X40" s="7">
        <f t="shared" si="26"/>
        <v>1229.58</v>
      </c>
      <c r="Y40" s="2"/>
      <c r="Z40" s="6">
        <f t="shared" si="27"/>
        <v>1.8327594687653712</v>
      </c>
    </row>
    <row r="41" spans="1:26" s="29" customFormat="1" outlineLevel="1" collapsed="1" x14ac:dyDescent="0.3">
      <c r="A41" s="28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1.9893920482074616E-6</v>
      </c>
      <c r="S41" s="1"/>
      <c r="T41" s="1">
        <f>SUM(OSRRefT22_4x_0)</f>
        <v>2.12</v>
      </c>
      <c r="U41" s="1"/>
      <c r="V41" s="5">
        <f t="shared" si="25"/>
        <v>5.7350617871751037E-6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7"/>
      <c r="B42" s="11" t="str">
        <f>CONCATENATE("          ", "6305", " - ", "FREIGHT OUT")</f>
        <v xml:space="preserve">          6305 - FREIGHT OUT</v>
      </c>
      <c r="C42" s="11"/>
      <c r="D42" s="7"/>
      <c r="E42" s="2"/>
      <c r="F42" s="6">
        <f t="shared" si="20"/>
        <v>0</v>
      </c>
      <c r="G42" s="2"/>
      <c r="H42" s="7"/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0.62</v>
      </c>
      <c r="Q42" s="2"/>
      <c r="R42" s="6">
        <f t="shared" si="24"/>
        <v>1.9893920482074616E-6</v>
      </c>
      <c r="S42" s="2"/>
      <c r="T42" s="7">
        <v>1.62</v>
      </c>
      <c r="U42" s="2"/>
      <c r="V42" s="6">
        <f t="shared" si="25"/>
        <v>4.3824528751055041E-6</v>
      </c>
      <c r="W42" s="2"/>
      <c r="X42" s="7">
        <f t="shared" si="26"/>
        <v>-1</v>
      </c>
      <c r="Y42" s="2"/>
      <c r="Z42" s="6">
        <f t="shared" si="27"/>
        <v>-0.61728395061728392</v>
      </c>
    </row>
    <row r="43" spans="1:26" s="24" customFormat="1" hidden="1" outlineLevel="2" x14ac:dyDescent="0.3">
      <c r="A43" s="27"/>
      <c r="B43" s="11" t="str">
        <f>CONCATENATE("          ", "6307", " - ", "POSTAGE")</f>
        <v xml:space="preserve">          6307 - POSTAGE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0.5</v>
      </c>
      <c r="U43" s="2"/>
      <c r="V43" s="6">
        <f t="shared" si="25"/>
        <v>1.3526089120695998E-6</v>
      </c>
      <c r="W43" s="2"/>
      <c r="X43" s="7">
        <f t="shared" si="26"/>
        <v>-0.5</v>
      </c>
      <c r="Y43" s="2"/>
      <c r="Z43" s="6">
        <f t="shared" si="27"/>
        <v>-1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1" si="28">IF(D$12=0,0,D44/D$12)</f>
        <v>1.7837593304682198E-3</v>
      </c>
      <c r="G44" s="1"/>
      <c r="H44" s="1">
        <f>SUM(OSRRefH22_5x_0)</f>
        <v>29.01</v>
      </c>
      <c r="I44" s="1"/>
      <c r="J44" s="5">
        <f t="shared" ref="J44:J51" si="29">IF(H$12=0,0,H44/H$12)</f>
        <v>8.5363700564971754E-4</v>
      </c>
      <c r="K44" s="1"/>
      <c r="L44" s="1">
        <f t="shared" ref="L44:L51" si="30">+D44-H44</f>
        <v>10.419999999999998</v>
      </c>
      <c r="M44" s="1"/>
      <c r="N44" s="5">
        <f t="shared" ref="N44:N51" si="31">IF(H44=0,0,L44/H44)</f>
        <v>0.35918648741813158</v>
      </c>
      <c r="O44" s="14"/>
      <c r="P44" s="1">
        <f>SUM(OSRRefP22_5x_0)</f>
        <v>276.01</v>
      </c>
      <c r="Q44" s="1"/>
      <c r="R44" s="5">
        <f t="shared" ref="R44:R51" si="32">IF(P$12=0,0,P44/P$12)</f>
        <v>8.8563241810603452E-4</v>
      </c>
      <c r="S44" s="1"/>
      <c r="T44" s="1">
        <f>SUM(OSRRefT22_5x_0)</f>
        <v>203.07</v>
      </c>
      <c r="U44" s="1"/>
      <c r="V44" s="5">
        <f t="shared" ref="V44:V51" si="33">IF(T$12=0,0,T44/T$12)</f>
        <v>5.4934858354794723E-4</v>
      </c>
      <c r="W44" s="1"/>
      <c r="X44" s="1">
        <f t="shared" ref="X44:X51" si="34">+P44-T44</f>
        <v>72.94</v>
      </c>
      <c r="Y44" s="1"/>
      <c r="Z44" s="5">
        <f t="shared" ref="Z44:Z51" si="35">IF(T44=0,0,X44/T44)</f>
        <v>0.35918648741813169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39.43</v>
      </c>
      <c r="E45" s="2"/>
      <c r="F45" s="6">
        <f t="shared" si="28"/>
        <v>1.7837593304682198E-3</v>
      </c>
      <c r="G45" s="2"/>
      <c r="H45" s="7">
        <v>29.01</v>
      </c>
      <c r="I45" s="2"/>
      <c r="J45" s="6">
        <f t="shared" si="29"/>
        <v>8.5363700564971754E-4</v>
      </c>
      <c r="K45" s="2"/>
      <c r="L45" s="7">
        <f t="shared" si="30"/>
        <v>10.419999999999998</v>
      </c>
      <c r="M45" s="2"/>
      <c r="N45" s="6">
        <f t="shared" si="31"/>
        <v>0.35918648741813158</v>
      </c>
      <c r="O45" s="11"/>
      <c r="P45" s="7">
        <v>276.01</v>
      </c>
      <c r="Q45" s="2"/>
      <c r="R45" s="6">
        <f t="shared" si="32"/>
        <v>8.8563241810603452E-4</v>
      </c>
      <c r="S45" s="2"/>
      <c r="T45" s="7">
        <v>203.07</v>
      </c>
      <c r="U45" s="2"/>
      <c r="V45" s="6">
        <f t="shared" si="33"/>
        <v>5.4934858354794723E-4</v>
      </c>
      <c r="W45" s="2"/>
      <c r="X45" s="7">
        <f t="shared" si="34"/>
        <v>72.94</v>
      </c>
      <c r="Y45" s="2"/>
      <c r="Z45" s="6">
        <f t="shared" si="35"/>
        <v>0.35918648741813169</v>
      </c>
    </row>
    <row r="46" spans="1:26" s="29" customFormat="1" outlineLevel="1" collapsed="1" x14ac:dyDescent="0.3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3.6190907034607554E-2</v>
      </c>
      <c r="G46" s="1"/>
      <c r="H46" s="1">
        <f>SUM(OSRRefH22_6x_0)</f>
        <v>800</v>
      </c>
      <c r="I46" s="1"/>
      <c r="J46" s="5">
        <f t="shared" si="29"/>
        <v>2.3540489642184557E-2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5600</v>
      </c>
      <c r="Q46" s="1"/>
      <c r="R46" s="5">
        <f t="shared" si="32"/>
        <v>1.7968702370906104E-2</v>
      </c>
      <c r="S46" s="1"/>
      <c r="T46" s="1">
        <f>SUM(OSRRefT22_6x_0)</f>
        <v>5600</v>
      </c>
      <c r="U46" s="1"/>
      <c r="V46" s="5">
        <f t="shared" si="33"/>
        <v>1.5149219815179518E-2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7"/>
      <c r="B47" s="11" t="str">
        <f>CONCATENATE("          ", "6273", " - ", "RENT")</f>
        <v xml:space="preserve">          6273 - RENT</v>
      </c>
      <c r="C47" s="11"/>
      <c r="D47" s="7">
        <v>800</v>
      </c>
      <c r="E47" s="2"/>
      <c r="F47" s="6">
        <f t="shared" si="28"/>
        <v>3.6190907034607554E-2</v>
      </c>
      <c r="G47" s="2"/>
      <c r="H47" s="7">
        <v>800</v>
      </c>
      <c r="I47" s="2"/>
      <c r="J47" s="6">
        <f t="shared" si="29"/>
        <v>2.3540489642184557E-2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5600</v>
      </c>
      <c r="Q47" s="2"/>
      <c r="R47" s="6">
        <f t="shared" si="32"/>
        <v>1.7968702370906104E-2</v>
      </c>
      <c r="S47" s="2"/>
      <c r="T47" s="7">
        <v>5600</v>
      </c>
      <c r="U47" s="2"/>
      <c r="V47" s="6">
        <f t="shared" si="33"/>
        <v>1.5149219815179518E-2</v>
      </c>
      <c r="W47" s="2"/>
      <c r="X47" s="7">
        <f t="shared" si="34"/>
        <v>0</v>
      </c>
      <c r="Y47" s="2"/>
      <c r="Z47" s="6">
        <f t="shared" si="35"/>
        <v>0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1555.65</v>
      </c>
      <c r="E48" s="1"/>
      <c r="F48" s="5">
        <f t="shared" si="28"/>
        <v>7.037548066048406E-2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1555.65</v>
      </c>
      <c r="M48" s="1"/>
      <c r="N48" s="5">
        <f t="shared" si="31"/>
        <v>0</v>
      </c>
      <c r="O48" s="14"/>
      <c r="P48" s="1">
        <f>SUM(OSRRefP22_7x_0)</f>
        <v>123556.26999999999</v>
      </c>
      <c r="Q48" s="1"/>
      <c r="R48" s="5">
        <f t="shared" si="32"/>
        <v>0.39645461458737757</v>
      </c>
      <c r="S48" s="1"/>
      <c r="T48" s="1">
        <f>SUM(OSRRefT22_7x_0)</f>
        <v>126914.9</v>
      </c>
      <c r="U48" s="1"/>
      <c r="V48" s="5">
        <f t="shared" si="33"/>
        <v>0.34333244962884407</v>
      </c>
      <c r="W48" s="1"/>
      <c r="X48" s="1">
        <f t="shared" si="34"/>
        <v>-3358.6300000000047</v>
      </c>
      <c r="Y48" s="1"/>
      <c r="Z48" s="5">
        <f t="shared" si="35"/>
        <v>-2.6463638233178332E-2</v>
      </c>
    </row>
    <row r="49" spans="1:26" s="24" customFormat="1" hidden="1" outlineLevel="2" x14ac:dyDescent="0.3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7">
        <v>1555.65</v>
      </c>
      <c r="E49" s="2"/>
      <c r="F49" s="6">
        <f t="shared" si="28"/>
        <v>7.037548066048406E-2</v>
      </c>
      <c r="G49" s="2"/>
      <c r="H49" s="7"/>
      <c r="I49" s="2"/>
      <c r="J49" s="6">
        <f t="shared" si="29"/>
        <v>0</v>
      </c>
      <c r="K49" s="2"/>
      <c r="L49" s="7">
        <f t="shared" si="30"/>
        <v>1555.65</v>
      </c>
      <c r="M49" s="2"/>
      <c r="N49" s="6">
        <f t="shared" si="31"/>
        <v>0</v>
      </c>
      <c r="O49" s="11"/>
      <c r="P49" s="7">
        <v>1555.65</v>
      </c>
      <c r="Q49" s="2"/>
      <c r="R49" s="6">
        <f t="shared" si="32"/>
        <v>4.9916092577321578E-3</v>
      </c>
      <c r="S49" s="2"/>
      <c r="T49" s="7"/>
      <c r="U49" s="2"/>
      <c r="V49" s="6">
        <f t="shared" si="33"/>
        <v>0</v>
      </c>
      <c r="W49" s="2"/>
      <c r="X49" s="7">
        <f t="shared" si="34"/>
        <v>1555.65</v>
      </c>
      <c r="Y49" s="2"/>
      <c r="Z49" s="6">
        <f t="shared" si="35"/>
        <v>0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122000.62</v>
      </c>
      <c r="Q50" s="2"/>
      <c r="R50" s="6">
        <f t="shared" si="32"/>
        <v>0.39146300532964545</v>
      </c>
      <c r="S50" s="2"/>
      <c r="T50" s="7">
        <v>120352.9</v>
      </c>
      <c r="U50" s="2"/>
      <c r="V50" s="6">
        <f t="shared" si="33"/>
        <v>0.32558081026684266</v>
      </c>
      <c r="W50" s="2"/>
      <c r="X50" s="7">
        <f t="shared" si="34"/>
        <v>1647.7200000000012</v>
      </c>
      <c r="Y50" s="2"/>
      <c r="Z50" s="6">
        <f t="shared" si="35"/>
        <v>1.3690737821855569E-2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28"/>
        <v>0</v>
      </c>
      <c r="G51" s="2"/>
      <c r="H51" s="7"/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6562</v>
      </c>
      <c r="U51" s="2"/>
      <c r="V51" s="6">
        <f t="shared" si="33"/>
        <v>1.7751639362001428E-2</v>
      </c>
      <c r="W51" s="2"/>
      <c r="X51" s="7">
        <f t="shared" si="34"/>
        <v>-6562</v>
      </c>
      <c r="Y51" s="2"/>
      <c r="Z51" s="6">
        <f t="shared" si="35"/>
        <v>-1</v>
      </c>
    </row>
    <row r="52" spans="1:26" s="29" customFormat="1" outlineLevel="1" collapsed="1" x14ac:dyDescent="0.3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SUM(OSRRefD22_8x_0)</f>
        <v>2523.12</v>
      </c>
      <c r="E52" s="1"/>
      <c r="F52" s="5">
        <f t="shared" ref="F52:F54" si="36">IF(D$12=0,0,D52/D$12)</f>
        <v>0.11414250169644877</v>
      </c>
      <c r="G52" s="1"/>
      <c r="H52" s="1">
        <f>SUM(OSRRefH22_8x_0)</f>
        <v>774.92</v>
      </c>
      <c r="I52" s="1"/>
      <c r="J52" s="5">
        <f t="shared" ref="J52:J54" si="37">IF(H$12=0,0,H52/H$12)</f>
        <v>2.2802495291902071E-2</v>
      </c>
      <c r="K52" s="1"/>
      <c r="L52" s="1">
        <f t="shared" ref="L52:L54" si="38">+D52-H52</f>
        <v>1748.1999999999998</v>
      </c>
      <c r="M52" s="1"/>
      <c r="N52" s="5">
        <f t="shared" ref="N52:N54" si="39">IF(H52=0,0,L52/H52)</f>
        <v>2.2559748103029991</v>
      </c>
      <c r="O52" s="14"/>
      <c r="P52" s="1">
        <f>SUM(OSRRefP22_8x_0)</f>
        <v>18078.21</v>
      </c>
      <c r="Q52" s="1"/>
      <c r="R52" s="5">
        <f t="shared" ref="R52:R54" si="40">IF(P$12=0,0,P52/P$12)</f>
        <v>5.800749551584615E-2</v>
      </c>
      <c r="S52" s="1"/>
      <c r="T52" s="1">
        <f>SUM(OSRRefT22_8x_0)</f>
        <v>42046.62</v>
      </c>
      <c r="U52" s="1"/>
      <c r="V52" s="5">
        <f t="shared" ref="V52:V54" si="41">IF(T$12=0,0,T52/T$12)</f>
        <v>0.11374526586880776</v>
      </c>
      <c r="W52" s="1"/>
      <c r="X52" s="1">
        <f t="shared" ref="X52:X54" si="42">+P52-T52</f>
        <v>-23968.410000000003</v>
      </c>
      <c r="Y52" s="1"/>
      <c r="Z52" s="5">
        <f t="shared" ref="Z52:Z54" si="43">IF(T52=0,0,X52/T52)</f>
        <v>-0.57004368008653261</v>
      </c>
    </row>
    <row r="53" spans="1:26" s="24" customFormat="1" hidden="1" outlineLevel="2" x14ac:dyDescent="0.3">
      <c r="A53" s="27"/>
      <c r="B53" s="11" t="str">
        <f>CONCATENATE("          ", "6241", " - ", "OFFICE EXPENSE")</f>
        <v xml:space="preserve">          6241 - OFFICE EXPENSE</v>
      </c>
      <c r="C53" s="11"/>
      <c r="D53" s="7">
        <v>2523.12</v>
      </c>
      <c r="E53" s="2"/>
      <c r="F53" s="6">
        <f t="shared" si="36"/>
        <v>0.11414250169644877</v>
      </c>
      <c r="G53" s="2"/>
      <c r="H53" s="7">
        <v>774.92</v>
      </c>
      <c r="I53" s="2"/>
      <c r="J53" s="6">
        <f t="shared" si="37"/>
        <v>2.2802495291902071E-2</v>
      </c>
      <c r="K53" s="2"/>
      <c r="L53" s="7">
        <f t="shared" si="38"/>
        <v>1748.1999999999998</v>
      </c>
      <c r="M53" s="2"/>
      <c r="N53" s="6">
        <f t="shared" si="39"/>
        <v>2.2559748103029991</v>
      </c>
      <c r="O53" s="11"/>
      <c r="P53" s="7">
        <v>18061.669999999998</v>
      </c>
      <c r="Q53" s="2"/>
      <c r="R53" s="6">
        <f t="shared" si="40"/>
        <v>5.7954423669914934E-2</v>
      </c>
      <c r="S53" s="2"/>
      <c r="T53" s="7">
        <v>42046.62</v>
      </c>
      <c r="U53" s="2"/>
      <c r="V53" s="6">
        <f t="shared" si="41"/>
        <v>0.11374526586880776</v>
      </c>
      <c r="W53" s="2"/>
      <c r="X53" s="7">
        <f t="shared" si="42"/>
        <v>-23984.950000000004</v>
      </c>
      <c r="Y53" s="2"/>
      <c r="Z53" s="6">
        <f t="shared" si="43"/>
        <v>-0.57043705296644542</v>
      </c>
    </row>
    <row r="54" spans="1:26" s="24" customFormat="1" hidden="1" outlineLevel="2" x14ac:dyDescent="0.3">
      <c r="A54" s="27"/>
      <c r="B54" s="11" t="str">
        <f>CONCATENATE("          ", "6247", " - ", "STORE SUPPLIES")</f>
        <v xml:space="preserve">          6247 - STORE SUPPLIES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16.54</v>
      </c>
      <c r="Q54" s="2"/>
      <c r="R54" s="6">
        <f t="shared" si="40"/>
        <v>5.3071845931211954E-5</v>
      </c>
      <c r="S54" s="2"/>
      <c r="T54" s="7"/>
      <c r="U54" s="2"/>
      <c r="V54" s="6">
        <f t="shared" si="41"/>
        <v>0</v>
      </c>
      <c r="W54" s="2"/>
      <c r="X54" s="7">
        <f t="shared" si="42"/>
        <v>16.54</v>
      </c>
      <c r="Y54" s="2"/>
      <c r="Z54" s="6">
        <f t="shared" si="43"/>
        <v>0</v>
      </c>
    </row>
    <row r="55" spans="1:26" s="29" customFormat="1" outlineLevel="1" collapsed="1" x14ac:dyDescent="0.3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SUM(OSRRefD22_9x_0)</f>
        <v>88</v>
      </c>
      <c r="E55" s="1"/>
      <c r="F55" s="5">
        <f t="shared" ref="F55:F58" si="44">IF(D$12=0,0,D55/D$12)</f>
        <v>3.9809997738068309E-3</v>
      </c>
      <c r="G55" s="1"/>
      <c r="H55" s="1">
        <f>SUM(OSRRefH22_9x_0)</f>
        <v>86.55</v>
      </c>
      <c r="I55" s="1"/>
      <c r="J55" s="5">
        <f t="shared" ref="J55:J58" si="45">IF(H$12=0,0,H55/H$12)</f>
        <v>2.5467867231638418E-3</v>
      </c>
      <c r="K55" s="1"/>
      <c r="L55" s="1">
        <f t="shared" ref="L55:L58" si="46">+D55-H55</f>
        <v>1.4500000000000028</v>
      </c>
      <c r="M55" s="1"/>
      <c r="N55" s="5">
        <f t="shared" ref="N55:N58" si="47">IF(H55=0,0,L55/H55)</f>
        <v>1.6753321779318348E-2</v>
      </c>
      <c r="O55" s="14"/>
      <c r="P55" s="1">
        <f>SUM(OSRRefP22_9x_0)</f>
        <v>193</v>
      </c>
      <c r="Q55" s="1"/>
      <c r="R55" s="5">
        <f t="shared" ref="R55:R58" si="48">IF(P$12=0,0,P55/P$12)</f>
        <v>6.1927849242587104E-4</v>
      </c>
      <c r="S55" s="1"/>
      <c r="T55" s="1">
        <f>SUM(OSRRefT22_9x_0)</f>
        <v>1538.38</v>
      </c>
      <c r="U55" s="1"/>
      <c r="V55" s="5">
        <f t="shared" ref="V55:V58" si="49">IF(T$12=0,0,T55/T$12)</f>
        <v>4.1616529962992619E-3</v>
      </c>
      <c r="W55" s="1"/>
      <c r="X55" s="1">
        <f t="shared" ref="X55:X58" si="50">+P55-T55</f>
        <v>-1345.38</v>
      </c>
      <c r="Y55" s="1"/>
      <c r="Z55" s="5">
        <f t="shared" ref="Z55:Z58" si="51">IF(T55=0,0,X55/T55)</f>
        <v>-0.87454335079759227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7">
        <v>88</v>
      </c>
      <c r="E56" s="2"/>
      <c r="F56" s="6">
        <f t="shared" si="44"/>
        <v>3.9809997738068309E-3</v>
      </c>
      <c r="G56" s="2"/>
      <c r="H56" s="7">
        <v>86.55</v>
      </c>
      <c r="I56" s="2"/>
      <c r="J56" s="6">
        <f t="shared" si="45"/>
        <v>2.5467867231638418E-3</v>
      </c>
      <c r="K56" s="2"/>
      <c r="L56" s="7">
        <f t="shared" si="46"/>
        <v>1.4500000000000028</v>
      </c>
      <c r="M56" s="2"/>
      <c r="N56" s="6">
        <f t="shared" si="47"/>
        <v>1.6753321779318348E-2</v>
      </c>
      <c r="O56" s="11"/>
      <c r="P56" s="7">
        <v>193</v>
      </c>
      <c r="Q56" s="2"/>
      <c r="R56" s="6">
        <f t="shared" si="48"/>
        <v>6.1927849242587104E-4</v>
      </c>
      <c r="S56" s="2"/>
      <c r="T56" s="7">
        <v>1538.38</v>
      </c>
      <c r="U56" s="2"/>
      <c r="V56" s="6">
        <f t="shared" si="49"/>
        <v>4.1616529962992619E-3</v>
      </c>
      <c r="W56" s="2"/>
      <c r="X56" s="7">
        <f t="shared" si="50"/>
        <v>-1345.38</v>
      </c>
      <c r="Y56" s="2"/>
      <c r="Z56" s="6">
        <f t="shared" si="51"/>
        <v>-0.87454335079759227</v>
      </c>
    </row>
    <row r="57" spans="1:26" s="29" customFormat="1" outlineLevel="1" collapsed="1" x14ac:dyDescent="0.3">
      <c r="A57" s="28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SUM(OSRRefD22_10x_0)</f>
        <v>0</v>
      </c>
      <c r="E57" s="1"/>
      <c r="F57" s="5">
        <f t="shared" si="44"/>
        <v>0</v>
      </c>
      <c r="G57" s="1"/>
      <c r="H57" s="1">
        <f>SUM(OSRRefH22_10x_0)</f>
        <v>0</v>
      </c>
      <c r="I57" s="1"/>
      <c r="J57" s="5">
        <f t="shared" si="45"/>
        <v>0</v>
      </c>
      <c r="K57" s="1"/>
      <c r="L57" s="1">
        <f t="shared" si="46"/>
        <v>0</v>
      </c>
      <c r="M57" s="1"/>
      <c r="N57" s="5">
        <f t="shared" si="47"/>
        <v>0</v>
      </c>
      <c r="O57" s="14"/>
      <c r="P57" s="1">
        <f>SUM(OSRRefP22_10x_0)</f>
        <v>2000</v>
      </c>
      <c r="Q57" s="1"/>
      <c r="R57" s="5">
        <f t="shared" si="48"/>
        <v>6.4173937038950373E-3</v>
      </c>
      <c r="S57" s="1"/>
      <c r="T57" s="1">
        <f>SUM(OSRRefT22_10x_0)</f>
        <v>0</v>
      </c>
      <c r="U57" s="1"/>
      <c r="V57" s="5">
        <f t="shared" si="49"/>
        <v>0</v>
      </c>
      <c r="W57" s="1"/>
      <c r="X57" s="1">
        <f t="shared" si="50"/>
        <v>2000</v>
      </c>
      <c r="Y57" s="1"/>
      <c r="Z57" s="5">
        <f t="shared" si="51"/>
        <v>0</v>
      </c>
    </row>
    <row r="58" spans="1:26" s="24" customFormat="1" hidden="1" outlineLevel="2" x14ac:dyDescent="0.3">
      <c r="A58" s="27"/>
      <c r="B58" s="11" t="str">
        <f>CONCATENATE("          ", "6376", " - ", "TRAINING")</f>
        <v xml:space="preserve">          6376 - TRAINING</v>
      </c>
      <c r="C58" s="11"/>
      <c r="D58" s="7"/>
      <c r="E58" s="2"/>
      <c r="F58" s="6">
        <f t="shared" si="44"/>
        <v>0</v>
      </c>
      <c r="G58" s="2"/>
      <c r="H58" s="7"/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>
        <v>2000</v>
      </c>
      <c r="Q58" s="2"/>
      <c r="R58" s="6">
        <f t="shared" si="48"/>
        <v>6.4173937038950373E-3</v>
      </c>
      <c r="S58" s="2"/>
      <c r="T58" s="7"/>
      <c r="U58" s="2"/>
      <c r="V58" s="6">
        <f t="shared" si="49"/>
        <v>0</v>
      </c>
      <c r="W58" s="2"/>
      <c r="X58" s="7">
        <f t="shared" si="50"/>
        <v>2000</v>
      </c>
      <c r="Y58" s="2"/>
      <c r="Z58" s="6">
        <f t="shared" si="51"/>
        <v>0</v>
      </c>
    </row>
    <row r="59" spans="1:26" s="52" customFormat="1" x14ac:dyDescent="0.3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3">
      <c r="A60" s="10"/>
      <c r="B60" s="26" t="s">
        <v>292</v>
      </c>
      <c r="C60" s="10"/>
      <c r="D60" s="4">
        <f>SUM(OSRRefD25x_0)</f>
        <v>508.14</v>
      </c>
      <c r="E60" s="4"/>
      <c r="F60" s="12">
        <f t="shared" ref="F60:F61" si="52">IF(D$12=0,0,D60/D$12)</f>
        <v>2.2987559375706852E-2</v>
      </c>
      <c r="G60" s="4"/>
      <c r="H60" s="4">
        <f>SUM(OSRRefH25x_0)</f>
        <v>237</v>
      </c>
      <c r="I60" s="4"/>
      <c r="J60" s="12">
        <f t="shared" ref="J60:J61" si="53">IF(H$12=0,0,H60/H$12)</f>
        <v>6.9738700564971751E-3</v>
      </c>
      <c r="K60" s="4"/>
      <c r="L60" s="4">
        <f t="shared" ref="L60:L61" si="54">+D60-H60</f>
        <v>271.14</v>
      </c>
      <c r="M60" s="4"/>
      <c r="N60" s="12">
        <f t="shared" ref="N60:N61" si="55">IF(H60=0,0,L60/H60)</f>
        <v>1.1440506329113924</v>
      </c>
      <c r="O60" s="10"/>
      <c r="P60" s="4">
        <f>SUM(OSRRefP25x_0)</f>
        <v>6238.54</v>
      </c>
      <c r="Q60" s="4"/>
      <c r="R60" s="12">
        <f t="shared" ref="R60:R61" si="56">IF(P$12=0,0,P60/P$12)</f>
        <v>2.0017583658748672E-2</v>
      </c>
      <c r="S60" s="4"/>
      <c r="T60" s="4">
        <f>SUM(OSRRefT25x_0)</f>
        <v>1497.2</v>
      </c>
      <c r="U60" s="4"/>
      <c r="V60" s="12">
        <f t="shared" ref="V60:V61" si="57">IF(T$12=0,0,T60/T$12)</f>
        <v>4.0502521263012098E-3</v>
      </c>
      <c r="W60" s="4"/>
      <c r="X60" s="4">
        <f t="shared" ref="X60:X61" si="58">+P60-T60</f>
        <v>4741.34</v>
      </c>
      <c r="Y60" s="4"/>
      <c r="Z60" s="12">
        <f t="shared" ref="Z60:Z61" si="59">IF(T60=0,0,X60/T60)</f>
        <v>3.1668047021106065</v>
      </c>
    </row>
    <row r="61" spans="1:26" s="24" customFormat="1" hidden="1" outlineLevel="1" x14ac:dyDescent="0.3">
      <c r="A61" s="44"/>
      <c r="B61" s="11" t="str">
        <f>CONCATENATE("          ", "9150", " - ", "MISC. INCOME")</f>
        <v xml:space="preserve">          9150 - MISC. INCOME</v>
      </c>
      <c r="C61" s="11"/>
      <c r="D61" s="2">
        <f>--508.14</f>
        <v>508.14</v>
      </c>
      <c r="E61" s="2"/>
      <c r="F61" s="19">
        <f t="shared" si="52"/>
        <v>2.2987559375706852E-2</v>
      </c>
      <c r="G61" s="2"/>
      <c r="H61" s="2">
        <f>--237</f>
        <v>237</v>
      </c>
      <c r="I61" s="2"/>
      <c r="J61" s="19">
        <f t="shared" si="53"/>
        <v>6.9738700564971751E-3</v>
      </c>
      <c r="K61" s="2"/>
      <c r="L61" s="2">
        <f t="shared" si="54"/>
        <v>271.14</v>
      </c>
      <c r="M61" s="2"/>
      <c r="N61" s="19">
        <f t="shared" si="55"/>
        <v>1.1440506329113924</v>
      </c>
      <c r="O61" s="11"/>
      <c r="P61" s="2">
        <f>--6238.54</f>
        <v>6238.54</v>
      </c>
      <c r="Q61" s="2"/>
      <c r="R61" s="19">
        <f t="shared" si="56"/>
        <v>2.0017583658748672E-2</v>
      </c>
      <c r="S61" s="2"/>
      <c r="T61" s="2">
        <f>--1497.2</f>
        <v>1497.2</v>
      </c>
      <c r="U61" s="2"/>
      <c r="V61" s="19">
        <f t="shared" si="57"/>
        <v>4.0502521263012098E-3</v>
      </c>
      <c r="W61" s="2"/>
      <c r="X61" s="2">
        <f t="shared" si="58"/>
        <v>4741.34</v>
      </c>
      <c r="Y61" s="2"/>
      <c r="Z61" s="19">
        <f t="shared" si="59"/>
        <v>3.1668047021106065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10"/>
      <c r="B63" s="25" t="s">
        <v>276</v>
      </c>
      <c r="C63" s="25"/>
      <c r="D63" s="21">
        <f>+D17-D19+D60</f>
        <v>-1348.2700000000036</v>
      </c>
      <c r="E63" s="13"/>
      <c r="F63" s="22">
        <f>IF(D$12=0,0,D63/D$12)</f>
        <v>-6.0993892784438071E-2</v>
      </c>
      <c r="G63" s="13"/>
      <c r="H63" s="21">
        <f>+H17-H19+H60</f>
        <v>10869.900000000005</v>
      </c>
      <c r="I63" s="13"/>
      <c r="J63" s="22">
        <f>IF(H$12=0,0,H63/H$12)</f>
        <v>0.31985346045197754</v>
      </c>
      <c r="K63" s="15"/>
      <c r="L63" s="21">
        <f>+D63-H63</f>
        <v>-12218.170000000009</v>
      </c>
      <c r="M63" s="15"/>
      <c r="N63" s="22">
        <f>IF(H63=0,0,L63/H63)</f>
        <v>-1.1240370196597949</v>
      </c>
      <c r="O63" s="26"/>
      <c r="P63" s="21">
        <f>+P17-P19+P60</f>
        <v>34853.230000000061</v>
      </c>
      <c r="Q63" s="13"/>
      <c r="R63" s="22">
        <f>IF(P$12=0,0,P63/P$12)</f>
        <v>0.11183344938120302</v>
      </c>
      <c r="S63" s="13"/>
      <c r="T63" s="21">
        <f>+T17-T19+T60</f>
        <v>62106.90999999996</v>
      </c>
      <c r="U63" s="13"/>
      <c r="V63" s="22">
        <f>IF(T$12=0,0,T63/T$12)</f>
        <v>0.16801271993420899</v>
      </c>
      <c r="W63" s="15"/>
      <c r="X63" s="21">
        <f>+P63-T63</f>
        <v>-27253.679999999898</v>
      </c>
      <c r="Y63" s="15"/>
      <c r="Z63" s="22">
        <f>IF(T63=0,0,X63/T63)</f>
        <v>-0.43881880454203753</v>
      </c>
    </row>
    <row r="64" spans="1:26" x14ac:dyDescent="0.3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51"/>
      <c r="B65" s="10" t="s">
        <v>127</v>
      </c>
      <c r="C65" s="10"/>
      <c r="D65" s="4">
        <v>6399.57</v>
      </c>
      <c r="E65" s="4"/>
      <c r="F65" s="12">
        <f>IF(D$12=0,0,D65/D$12)</f>
        <v>0.28950780366432932</v>
      </c>
      <c r="G65" s="4"/>
      <c r="H65" s="4">
        <v>4995.91</v>
      </c>
      <c r="I65" s="4"/>
      <c r="J65" s="12">
        <f>IF(H$12=0,0,H65/H$12)</f>
        <v>0.1470077095103578</v>
      </c>
      <c r="K65" s="4"/>
      <c r="L65" s="4">
        <f>+D65-H65</f>
        <v>1403.6599999999999</v>
      </c>
      <c r="M65" s="4"/>
      <c r="N65" s="12">
        <f>IF(H65=0,0,L65/H65)</f>
        <v>0.28096182677430137</v>
      </c>
      <c r="O65" s="10"/>
      <c r="P65" s="4">
        <v>41252.69</v>
      </c>
      <c r="Q65" s="4"/>
      <c r="R65" s="12">
        <f>IF(P$12=0,0,P65/P$12)</f>
        <v>0.13236737653736688</v>
      </c>
      <c r="S65" s="4"/>
      <c r="T65" s="4">
        <v>67102.34</v>
      </c>
      <c r="U65" s="4"/>
      <c r="V65" s="12">
        <f>IF(T$12=0,0,T65/T$12)</f>
        <v>0.18152644620944877</v>
      </c>
      <c r="W65" s="4"/>
      <c r="X65" s="4">
        <f>+P65-T65</f>
        <v>-25849.649999999994</v>
      </c>
      <c r="Y65" s="4"/>
      <c r="Z65" s="12">
        <f>IF(T65=0,0,X65/T65)</f>
        <v>-0.38522725138944475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5" t="s">
        <v>125</v>
      </c>
      <c r="C67" s="25"/>
      <c r="D67" s="36">
        <f>+D63-D65</f>
        <v>-7747.8400000000038</v>
      </c>
      <c r="E67" s="13"/>
      <c r="F67" s="31">
        <f>IF(D$12=0,0,D67/D$12)</f>
        <v>-0.35050169644876744</v>
      </c>
      <c r="G67" s="13"/>
      <c r="H67" s="36">
        <f>+H63-H65</f>
        <v>5873.9900000000052</v>
      </c>
      <c r="I67" s="13"/>
      <c r="J67" s="31">
        <f>IF(H$12=0,0,H67/H$12)</f>
        <v>0.17284575094161975</v>
      </c>
      <c r="K67" s="15"/>
      <c r="L67" s="36">
        <f>D67-H67</f>
        <v>-13621.830000000009</v>
      </c>
      <c r="M67" s="15"/>
      <c r="N67" s="31">
        <f>IF(H67=0,0,L67/H67)</f>
        <v>-2.3190080337215413</v>
      </c>
      <c r="O67" s="26"/>
      <c r="P67" s="36">
        <f>+P63-P65</f>
        <v>-6399.4599999999409</v>
      </c>
      <c r="Q67" s="13"/>
      <c r="R67" s="31">
        <f>IF(P$12=0,0,P67/P$12)</f>
        <v>-2.0533927156163877E-2</v>
      </c>
      <c r="S67" s="13"/>
      <c r="T67" s="36">
        <f>+T63-T65</f>
        <v>-4995.4300000000367</v>
      </c>
      <c r="U67" s="13"/>
      <c r="V67" s="31">
        <f>IF(T$12=0,0,T67/T$12)</f>
        <v>-1.3513726275239781E-2</v>
      </c>
      <c r="W67" s="15"/>
      <c r="X67" s="36">
        <f>P67-T67</f>
        <v>-1404.0299999999042</v>
      </c>
      <c r="Y67" s="15"/>
      <c r="Z67" s="31">
        <f>IF(T67=0,0,X67/T67)</f>
        <v>0.28106289148279406</v>
      </c>
    </row>
    <row r="68" spans="1:26" ht="15" thickTop="1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3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293</v>
      </c>
      <c r="C70" s="25"/>
      <c r="D70" s="35">
        <f>SUM(D67:D69)</f>
        <v>-7747.8400000000038</v>
      </c>
      <c r="E70" s="13"/>
      <c r="F70" s="32">
        <f>IF(D$12=0,0,D70/D$12)</f>
        <v>-0.35050169644876744</v>
      </c>
      <c r="G70" s="13"/>
      <c r="H70" s="35">
        <f>SUM(H67:H69)</f>
        <v>5873.9900000000052</v>
      </c>
      <c r="I70" s="13"/>
      <c r="J70" s="32">
        <f>IF(H$12=0,0,H70/H$12)</f>
        <v>0.17284575094161975</v>
      </c>
      <c r="K70" s="15"/>
      <c r="L70" s="35">
        <f>+D70-H70</f>
        <v>-13621.830000000009</v>
      </c>
      <c r="M70" s="15"/>
      <c r="N70" s="32">
        <f>IF(H70=0,0,L70/H70)</f>
        <v>-2.3190080337215413</v>
      </c>
      <c r="O70" s="26"/>
      <c r="P70" s="35">
        <f>SUM(P67:P69)</f>
        <v>-6399.4599999999409</v>
      </c>
      <c r="Q70" s="13"/>
      <c r="R70" s="32">
        <f>IF(P$12=0,0,P70/P$12)</f>
        <v>-2.0533927156163877E-2</v>
      </c>
      <c r="S70" s="13"/>
      <c r="T70" s="35">
        <f>SUM(T67:T69)</f>
        <v>-4995.4300000000367</v>
      </c>
      <c r="U70" s="13"/>
      <c r="V70" s="32">
        <f>IF(T$12=0,0,T70/T$12)</f>
        <v>-1.3513726275239781E-2</v>
      </c>
      <c r="W70" s="15"/>
      <c r="X70" s="35">
        <f>+P70-T70</f>
        <v>-1404.0299999999042</v>
      </c>
      <c r="Y70" s="15"/>
      <c r="Z70" s="32">
        <f>IF(T70=0,0,X70/T70)</f>
        <v>0.28106289148279406</v>
      </c>
    </row>
    <row r="71" spans="1:26" ht="15" thickTop="1" x14ac:dyDescent="0.3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4">
        <v>44604.028475694446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A73" s="9"/>
      <c r="B73" s="53" t="s">
        <v>56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59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8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8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1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3">
      <c r="A10" s="10"/>
      <c r="B10" s="57"/>
      <c r="C10" s="10"/>
      <c r="D10" s="43" t="s">
        <v>57</v>
      </c>
      <c r="E10" s="33"/>
      <c r="F10" s="34" t="s">
        <v>40</v>
      </c>
      <c r="G10" s="33"/>
      <c r="H10" s="50" t="s">
        <v>237</v>
      </c>
      <c r="I10" s="33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60" t="s">
        <v>57</v>
      </c>
      <c r="Q10" s="33"/>
      <c r="R10" s="34" t="s">
        <v>40</v>
      </c>
      <c r="S10" s="33"/>
      <c r="T10" s="50" t="s">
        <v>237</v>
      </c>
      <c r="U10" s="33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6" t="e">
        <f ca="1">+D27-D29</f>
        <v>#NAME?</v>
      </c>
      <c r="E31" s="13"/>
      <c r="F31" s="31" t="e">
        <f ca="1">IF(D$12=0,0,D31/D$12)</f>
        <v>#NAME?</v>
      </c>
      <c r="G31" s="13"/>
      <c r="H31" s="36" t="e">
        <f ca="1">+H27-H29</f>
        <v>#NAME?</v>
      </c>
      <c r="I31" s="13"/>
      <c r="J31" s="31" t="e">
        <f ca="1">IF(H$12=0,0,H31/H$12)</f>
        <v>#NAME?</v>
      </c>
      <c r="K31" s="15"/>
      <c r="L31" s="36" t="e">
        <f ca="1">D31-H31</f>
        <v>#NAME?</v>
      </c>
      <c r="M31" s="15"/>
      <c r="N31" s="31" t="e">
        <f ca="1">IF(H31=0,0,L31/H31)</f>
        <v>#NAME?</v>
      </c>
      <c r="O31" s="26"/>
      <c r="P31" s="36" t="e">
        <f ca="1">+P27-P29</f>
        <v>#NAME?</v>
      </c>
      <c r="Q31" s="13"/>
      <c r="R31" s="31" t="e">
        <f ca="1">IF(P$12=0,0,P31/P$12)</f>
        <v>#NAME?</v>
      </c>
      <c r="S31" s="13"/>
      <c r="T31" s="36" t="e">
        <f ca="1">+T27-T29</f>
        <v>#NAME?</v>
      </c>
      <c r="U31" s="13"/>
      <c r="V31" s="31" t="e">
        <f ca="1">IF(T$12=0,0,T31/T$12)</f>
        <v>#NAME?</v>
      </c>
      <c r="W31" s="15"/>
      <c r="X31" s="36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6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3682</vt:i4>
      </vt:variant>
    </vt:vector>
  </HeadingPairs>
  <TitlesOfParts>
    <vt:vector size="377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'326'!OSRRefD22_15x_0</vt:lpstr>
      <vt:lpstr>'331'!OSRRefD22_15x_0</vt:lpstr>
      <vt:lpstr>'333'!OSRRefD22_15x_0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'333'!OSRRefD22_16x_0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'326'!OSRRefH22_15x_0</vt:lpstr>
      <vt:lpstr>'331'!OSRRefH22_15x_0</vt:lpstr>
      <vt:lpstr>'333'!OSRRefH22_15x_0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'333'!OSRRefH22_16x_0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'326'!OSRRefP22_15x_0</vt:lpstr>
      <vt:lpstr>'331'!OSRRefP22_15x_0</vt:lpstr>
      <vt:lpstr>'333'!OSRRefP22_15x_0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'333'!OSRRefP22_16x_0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'326'!OSRRefT22_15x_0</vt:lpstr>
      <vt:lpstr>'331'!OSRRefT22_15x_0</vt:lpstr>
      <vt:lpstr>'333'!OSRRefT22_15x_0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'333'!OSRRefT22_16x_0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2022-02-12T00:43:24Z</dcterms:created>
  <dcterms:modified xsi:type="dcterms:W3CDTF">2022-02-12T00:50:31Z</dcterms:modified>
</cp:coreProperties>
</file>